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<sst xmlns="http://schemas.openxmlformats.org/spreadsheetml/2006/main" count="3662" uniqueCount="2965">
  <si>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</si>
  <si>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</si>
  <si>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</si>
  <si>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</si>
  <si>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</si>
  <si>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</si>
  <si>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</si>
  <si>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</si>
  <si>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</si>
  <si>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</si>
  <si>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</si>
  <si>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</si>
  <si>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</si>
  <si>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</si>
  <si>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</si>
  <si>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</si>
  <si>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</si>
  <si>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</si>
  <si>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</si>
  <si>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</si>
  <si>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</si>
  <si>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</si>
  <si>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</si>
  <si>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</si>
  <si>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</si>
  <si>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</si>
  <si>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</si>
  <si>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</si>
  <si>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</si>
  <si>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</si>
  <si>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</si>
  <si>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</si>
  <si>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</si>
  <si>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</si>
  <si>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</si>
  <si>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</si>
  <si>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</si>
  <si>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</si>
  <si>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</si>
  <si>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</si>
  <si>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</si>
  <si>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</si>
  <si>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</si>
  <si>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</si>
  <si>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</si>
  <si>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</si>
  <si>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</si>
  <si>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</si>
  <si>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</si>
  <si>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</si>
  <si>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</si>
  <si>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</si>
  <si>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</si>
  <si>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</si>
  <si>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</si>
  <si>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</si>
  <si>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</si>
  <si>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</si>
  <si>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</si>
  <si>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</si>
  <si>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</si>
  <si>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</si>
  <si>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</si>
  <si>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</si>
  <si>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</si>
  <si>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</si>
  <si>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</si>
  <si>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</si>
  <si>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</si>
  <si>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</si>
  <si>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</si>
  <si>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</si>
  <si>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</si>
  <si>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</si>
  <si>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</si>
  <si>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</si>
  <si>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</si>
  <si>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</si>
  <si>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</si>
  <si>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</si>
  <si>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</si>
  <si>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</si>
  <si>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</si>
  <si>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</si>
  <si>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</si>
  <si>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</si>
  <si>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</si>
  <si>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</si>
  <si>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</si>
  <si>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</si>
  <si>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</si>
  <si>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</si>
  <si>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</si>
  <si>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</si>
  <si>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</si>
  <si>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</si>
  <si>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</si>
  <si>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</si>
  <si>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</si>
  <si>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</si>
  <si>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</si>
  <si>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</si>
  <si>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</si>
  <si>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</si>
  <si>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</si>
  <si>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</si>
  <si>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</si>
  <si>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</si>
  <si>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</si>
  <si>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</si>
  <si>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</si>
  <si>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</si>
  <si>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</si>
  <si>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</si>
  <si>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</si>
  <si>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</si>
  <si>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</si>
  <si>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</si>
  <si>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</si>
  <si>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</si>
  <si>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</si>
  <si>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</si>
  <si>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</si>
  <si>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</si>
  <si>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</si>
  <si>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</si>
  <si>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</si>
  <si>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</si>
  <si>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</si>
  <si>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</si>
  <si>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</si>
  <si>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</si>
  <si>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</si>
  <si>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</si>
  <si>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</si>
  <si>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</si>
  <si>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</si>
  <si>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</si>
  <si>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</si>
  <si>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</si>
  <si>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</si>
  <si>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</si>
  <si>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</si>
  <si>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</si>
  <si>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</si>
  <si>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</si>
  <si>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</si>
  <si>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</si>
  <si>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</si>
  <si>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</si>
  <si>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</si>
  <si>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</si>
  <si>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</si>
  <si>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</si>
  <si>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</si>
  <si>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</si>
  <si>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</si>
  <si>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</si>
  <si>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</si>
  <si>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</si>
  <si>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</si>
  <si>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</si>
  <si>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</si>
  <si>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</si>
  <si>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</si>
  <si>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</si>
  <si>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</si>
  <si>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</si>
  <si>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</si>
  <si>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</si>
  <si>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</si>
  <si>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</si>
  <si>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</si>
  <si>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</si>
  <si>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</si>
  <si>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</si>
  <si>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</si>
  <si>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</si>
  <si>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</si>
  <si>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</si>
  <si>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</si>
  <si>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</si>
  <si>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</si>
  <si>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</si>
  <si>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</si>
  <si>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</si>
  <si>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</si>
  <si>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</si>
  <si>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</si>
  <si>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</si>
  <si>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</si>
  <si>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</si>
  <si>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</si>
  <si>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</si>
  <si>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</si>
  <si>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</si>
  <si>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</si>
  <si>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</si>
  <si>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</si>
  <si>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</si>
  <si>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</si>
  <si>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</si>
  <si>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</si>
  <si>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</si>
  <si>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</si>
  <si>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</si>
  <si>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</si>
  <si>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</si>
  <si>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</si>
  <si>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</si>
  <si>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</si>
  <si>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</si>
  <si>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</si>
  <si>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</si>
  <si>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</si>
  <si>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</si>
  <si>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</si>
  <si>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</si>
  <si>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</si>
  <si>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</si>
  <si>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</si>
  <si>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</si>
  <si>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</si>
  <si>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</si>
  <si>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</si>
  <si>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</si>
  <si>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</si>
  <si>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</si>
  <si>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</si>
  <si>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</si>
  <si>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</si>
  <si>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</si>
  <si>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</si>
  <si>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</si>
  <si>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</si>
  <si>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</si>
  <si>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</si>
  <si>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</si>
  <si>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</si>
  <si>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</si>
  <si>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</si>
  <si>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</si>
  <si>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</si>
  <si>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</si>
  <si>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</si>
  <si>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</si>
  <si>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</si>
  <si>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</si>
  <si>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</si>
  <si>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</si>
  <si>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</si>
  <si>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</si>
  <si>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</si>
  <si>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</si>
  <si>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</si>
  <si>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</si>
  <si>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</si>
  <si>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</si>
  <si>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</si>
  <si>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</si>
  <si>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</si>
  <si>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</si>
  <si>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</si>
  <si>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</si>
  <si>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</si>
  <si>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</si>
  <si>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</si>
  <si>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</si>
  <si>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</si>
  <si>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</si>
  <si>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</si>
  <si>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</si>
  <si>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</si>
  <si>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</si>
  <si>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</si>
  <si>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</si>
  <si>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</si>
  <si>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</si>
  <si>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</si>
  <si>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</si>
  <si>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</si>
  <si>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</si>
  <si>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</si>
  <si>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</si>
  <si>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</si>
  <si>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</si>
  <si>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</si>
  <si>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</si>
  <si>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</si>
  <si>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</si>
  <si>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</si>
  <si>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</si>
  <si>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</si>
  <si>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</si>
  <si>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</si>
  <si>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</si>
  <si>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</si>
  <si>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</si>
  <si>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</si>
  <si>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</si>
  <si>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</si>
  <si>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</si>
  <si>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</si>
  <si>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</si>
  <si>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</si>
  <si>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</si>
  <si>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</si>
  <si>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</si>
  <si>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</si>
  <si>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</si>
  <si>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</si>
  <si>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</si>
  <si>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</si>
  <si>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</si>
  <si>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</si>
  <si>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</si>
  <si>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</si>
  <si>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</si>
  <si>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</si>
  <si>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</si>
  <si>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</si>
  <si>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</si>
  <si>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</si>
  <si>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</si>
  <si>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</si>
  <si>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</si>
  <si>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</si>
  <si>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</si>
  <si>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</si>
  <si>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</si>
  <si>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</si>
  <si>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</si>
  <si>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</si>
  <si>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</si>
  <si>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</si>
  <si>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</si>
  <si>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</si>
  <si>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</si>
  <si>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</si>
  <si>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</si>
  <si>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</si>
  <si>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</si>
  <si>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</si>
  <si>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</si>
  <si>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</si>
  <si>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</si>
  <si>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</si>
  <si>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</si>
  <si>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</si>
  <si>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</si>
  <si>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</si>
  <si>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</si>
  <si>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</si>
  <si>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</si>
  <si>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</si>
  <si>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</si>
  <si>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</si>
  <si>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</si>
  <si>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</si>
  <si>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</si>
  <si>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</si>
  <si>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</si>
  <si>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</si>
  <si>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</si>
  <si>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</si>
  <si>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</si>
  <si>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</si>
  <si>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</si>
  <si>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</si>
  <si>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</si>
  <si>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</si>
  <si>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</si>
  <si>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</si>
  <si>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</si>
  <si>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</si>
  <si>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</si>
  <si>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</si>
  <si>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</si>
  <si>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</si>
  <si>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</si>
  <si>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</si>
  <si>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</si>
  <si>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</si>
  <si>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</si>
  <si>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</si>
  <si>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</si>
  <si>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</si>
  <si>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</si>
  <si>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</si>
  <si>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</si>
  <si>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</si>
  <si>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</si>
  <si>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</si>
  <si>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</si>
  <si>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</si>
  <si>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</si>
  <si>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</si>
  <si>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</si>
  <si>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</si>
  <si>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</si>
  <si>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</si>
  <si>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</si>
  <si>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</si>
  <si>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</si>
  <si>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</si>
  <si>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</si>
  <si>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</si>
  <si>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</si>
  <si>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</si>
  <si>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</si>
  <si>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</si>
  <si>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</si>
  <si>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</si>
  <si>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</si>
  <si>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</si>
  <si>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</si>
  <si>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</si>
  <si>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</si>
  <si>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</si>
  <si>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</si>
  <si>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</si>
  <si>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</si>
  <si>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</si>
  <si>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</si>
  <si>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</si>
  <si>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</si>
  <si>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</si>
  <si>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</si>
  <si>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</si>
  <si>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</si>
  <si>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</si>
  <si>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</si>
  <si>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</si>
  <si>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</si>
  <si>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</si>
  <si>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</si>
  <si>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</si>
  <si>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</si>
  <si>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</si>
  <si>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</si>
  <si>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</si>
  <si>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</si>
  <si>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</si>
  <si>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</si>
  <si>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</si>
  <si>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</si>
  <si>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</si>
  <si>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</si>
  <si>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</si>
  <si>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</si>
  <si>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</si>
  <si>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</si>
  <si>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</si>
  <si>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</si>
  <si>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</si>
  <si>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</si>
  <si>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</si>
  <si>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</si>
  <si>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</si>
  <si>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</si>
  <si>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</si>
  <si>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</si>
  <si>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</si>
  <si>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</si>
  <si>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</si>
  <si>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</si>
  <si>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</si>
  <si>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</si>
  <si>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</si>
  <si>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</si>
  <si>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</si>
  <si>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</si>
  <si>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</si>
  <si>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</si>
  <si>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</si>
  <si>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</si>
  <si>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</si>
  <si>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</si>
  <si>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</si>
  <si>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</si>
  <si>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</si>
  <si>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</si>
  <si>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</si>
  <si>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</si>
  <si>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</si>
  <si>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</si>
  <si>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</si>
  <si>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</si>
  <si>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</si>
  <si>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</si>
  <si>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</si>
  <si>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</si>
  <si>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</si>
  <si>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</si>
  <si>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</si>
  <si>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</si>
  <si>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</si>
  <si>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</si>
  <si>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</si>
  <si>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</si>
  <si>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</si>
  <si>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</si>
  <si>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</si>
  <si>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</si>
  <si>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</si>
  <si>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</si>
  <si>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</si>
  <si>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</si>
  <si>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</si>
  <si>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</si>
  <si>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</si>
  <si>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</si>
  <si>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</si>
  <si>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</si>
  <si>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</si>
  <si>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</si>
  <si>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</si>
  <si>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</si>
  <si>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</si>
  <si>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</si>
  <si>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</si>
  <si>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</si>
  <si>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</si>
  <si>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</si>
  <si>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</si>
  <si>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</si>
  <si>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</si>
  <si>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</si>
  <si>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</si>
  <si>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</si>
  <si>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</si>
  <si>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</si>
  <si>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</si>
  <si>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</si>
  <si>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</si>
  <si>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</si>
  <si>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</si>
  <si>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</si>
  <si>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</si>
  <si>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</si>
  <si>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</si>
  <si>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</si>
  <si>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</si>
  <si>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</si>
  <si>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</si>
  <si>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</si>
  <si>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</si>
  <si>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</si>
  <si>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</si>
  <si>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</si>
  <si>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</si>
  <si>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</si>
  <si>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</si>
  <si>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</si>
  <si>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</si>
  <si>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</si>
  <si>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</si>
  <si>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</si>
  <si>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</si>
  <si>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</si>
  <si>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</si>
  <si>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</si>
  <si>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</si>
  <si>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</si>
  <si>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</si>
  <si>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</si>
  <si>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</si>
  <si>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</si>
  <si>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</si>
  <si>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</si>
  <si>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</si>
  <si>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</si>
  <si>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</si>
  <si>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</si>
  <si>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</si>
  <si>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</si>
  <si>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</si>
  <si>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</si>
  <si>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</si>
  <si>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</si>
  <si>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</si>
  <si>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</si>
  <si>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</si>
  <si>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</si>
  <si>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</si>
  <si>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</si>
  <si>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</si>
  <si>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</si>
  <si>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</si>
  <si>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</si>
  <si>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</si>
  <si>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</si>
  <si>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</si>
  <si>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</si>
  <si>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</si>
  <si>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</si>
  <si>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</si>
  <si>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</si>
  <si>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</si>
  <si>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</si>
  <si>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</si>
  <si>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</si>
  <si>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</si>
  <si>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</si>
  <si>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</si>
  <si>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</si>
  <si>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</si>
  <si>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</si>
  <si>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</si>
  <si>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</si>
  <si>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</si>
  <si>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</si>
  <si>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</si>
  <si>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</si>
  <si>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</si>
  <si>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</si>
  <si>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</si>
  <si>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</si>
  <si>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</si>
  <si>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</si>
  <si>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</si>
  <si>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</si>
  <si>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</si>
  <si>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</si>
  <si>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</si>
  <si>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</si>
  <si>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</si>
  <si>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</si>
  <si>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</si>
  <si>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</si>
  <si>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</si>
  <si>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</si>
  <si>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</si>
  <si>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</si>
  <si>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</si>
  <si>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</si>
  <si>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</si>
  <si>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</si>
  <si>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</si>
  <si>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</si>
  <si>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</si>
  <si>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</si>
  <si>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</si>
  <si>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</si>
  <si>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</si>
  <si>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</si>
  <si>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</si>
  <si>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</si>
  <si>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</si>
  <si>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</si>
  <si>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</si>
  <si>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</si>
  <si>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</si>
  <si>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</si>
  <si>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</si>
  <si>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</si>
  <si>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</si>
  <si>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</si>
  <si>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</si>
  <si>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</si>
  <si>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</si>
  <si>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</si>
  <si>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</si>
  <si>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</si>
  <si>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</si>
  <si>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</si>
  <si>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</si>
  <si>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</si>
  <si>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</si>
  <si>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</si>
  <si>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</si>
  <si>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</si>
  <si>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</si>
  <si>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</si>
  <si>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</si>
  <si>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</si>
  <si>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</si>
  <si>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</si>
  <si>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</si>
  <si>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</si>
  <si>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</si>
  <si>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</si>
  <si>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</si>
  <si>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</si>
  <si>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</si>
  <si>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</si>
  <si>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</si>
  <si>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</si>
  <si>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</si>
  <si>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</si>
  <si>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</si>
  <si>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</si>
  <si>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</si>
  <si>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</si>
  <si>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</si>
  <si>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</si>
  <si>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</si>
  <si>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</si>
  <si>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</si>
  <si>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</si>
  <si>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</si>
  <si>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</si>
  <si>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</si>
  <si>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</si>
  <si>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</si>
  <si>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</si>
  <si>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</si>
  <si>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</si>
  <si>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</si>
  <si>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</si>
  <si>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</si>
  <si>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</si>
  <si>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</si>
  <si>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</si>
  <si>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</si>
  <si>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</si>
  <si>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</si>
  <si>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</si>
  <si>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</si>
  <si>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</si>
  <si>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</si>
  <si>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</si>
  <si>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</si>
  <si>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</si>
  <si>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</si>
  <si>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</si>
  <si>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</si>
  <si>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</si>
  <si>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</si>
  <si>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</si>
  <si>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</si>
  <si>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</si>
  <si>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</si>
  <si>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</si>
  <si>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</si>
  <si>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</si>
  <si>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</si>
  <si>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</si>
  <si>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</si>
  <si>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</si>
  <si>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</si>
  <si>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</si>
  <si>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</si>
  <si>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</si>
  <si>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</si>
  <si>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</si>
  <si>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</si>
  <si>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</si>
  <si>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</si>
  <si>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</si>
  <si>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</si>
  <si>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</si>
  <si>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</si>
  <si>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</si>
  <si>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</si>
  <si>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</si>
  <si>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</si>
  <si>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</si>
  <si>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</si>
  <si>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</si>
  <si>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</si>
  <si>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</si>
  <si>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</si>
  <si>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</si>
  <si>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</si>
  <si>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</si>
  <si>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</si>
  <si>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</si>
  <si>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</si>
  <si>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</si>
  <si>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</si>
  <si>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</si>
  <si>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</si>
  <si>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</si>
  <si>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</si>
  <si>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</si>
  <si>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</si>
  <si>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</si>
  <si>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</si>
  <si>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</si>
  <si>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</si>
  <si>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</si>
  <si>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</si>
  <si>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</si>
  <si>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</si>
  <si>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</si>
  <si>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</si>
  <si>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</si>
  <si>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</si>
  <si>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</si>
  <si>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</si>
  <si>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</si>
  <si>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</si>
  <si>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</si>
  <si>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</si>
  <si>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</si>
  <si>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</si>
  <si>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</si>
  <si>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</si>
  <si>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</si>
  <si>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</si>
  <si>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</si>
  <si>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</si>
  <si>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</si>
  <si>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</si>
  <si>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</si>
  <si>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</si>
  <si>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</si>
  <si>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</si>
  <si>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</si>
  <si>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</si>
  <si>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</si>
  <si>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</si>
  <si>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</si>
  <si>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</si>
  <si>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</si>
  <si>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</si>
  <si>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</si>
  <si>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</si>
  <si>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</si>
  <si>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</si>
  <si>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</si>
  <si>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</si>
  <si>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</si>
  <si>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</si>
  <si>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</si>
  <si>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</si>
  <si>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</si>
  <si>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</si>
  <si>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</si>
  <si>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</si>
  <si>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</si>
  <si>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</si>
  <si>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</si>
  <si>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</si>
  <si>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</si>
  <si>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</si>
  <si>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</si>
  <si>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</si>
  <si>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</si>
  <si>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</si>
  <si>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</si>
  <si>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</si>
  <si>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</si>
  <si>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</si>
  <si>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</si>
  <si>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</si>
  <si>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</si>
  <si>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</si>
  <si>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</si>
  <si>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</si>
  <si>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</si>
  <si>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</si>
  <si>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</si>
  <si>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</si>
  <si>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</si>
  <si>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</si>
  <si>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</si>
  <si>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</si>
  <si>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</si>
  <si>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</si>
  <si>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</si>
  <si>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</si>
  <si>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</si>
  <si>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</si>
  <si>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</si>
  <si>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</si>
  <si>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</si>
  <si>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</si>
  <si>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</si>
  <si>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</si>
  <si>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</si>
  <si>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</si>
  <si>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</si>
  <si>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</si>
  <si>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</si>
  <si>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</si>
  <si>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</si>
  <si>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</si>
  <si>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</si>
  <si>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</si>
  <si>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</si>
  <si>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</si>
  <si>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</si>
  <si>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</si>
  <si>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</si>
  <si>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</si>
  <si>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</si>
  <si>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</si>
  <si>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</si>
  <si>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</si>
  <si>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</si>
  <si>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</si>
  <si>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</si>
  <si>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</si>
  <si>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</si>
  <si>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</si>
  <si>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</si>
  <si>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</si>
  <si>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</si>
  <si>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</si>
  <si>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</si>
  <si>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</si>
  <si>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</si>
  <si>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</si>
  <si>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</si>
  <si>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</si>
  <si>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</si>
  <si>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</si>
  <si>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</si>
  <si>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</si>
  <si>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</si>
  <si>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</si>
  <si>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</si>
  <si>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</si>
  <si>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</si>
  <si>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</si>
  <si>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</si>
  <si>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</si>
  <si>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</si>
  <si>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</si>
  <si>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</si>
  <si>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</si>
  <si>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</si>
  <si>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</si>
  <si>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</si>
  <si>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</si>
  <si>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</si>
  <si>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</si>
  <si>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</si>
  <si>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</si>
  <si>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</si>
  <si>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</si>
  <si>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</si>
  <si>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</si>
  <si>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</si>
  <si>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</si>
  <si>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</si>
  <si>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</si>
  <si>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</si>
  <si>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</si>
  <si>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</si>
  <si>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</si>
  <si>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</si>
  <si>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</si>
  <si>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</si>
  <si>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</si>
  <si>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</si>
  <si>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</si>
  <si>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</si>
  <si>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</si>
  <si>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</si>
  <si>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</si>
  <si>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</si>
  <si>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</si>
  <si>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</si>
  <si>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</si>
  <si>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</si>
  <si>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</si>
  <si>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</si>
  <si>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</si>
  <si>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</si>
  <si>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</si>
  <si>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</si>
  <si>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</si>
  <si>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</si>
  <si>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</si>
  <si>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</si>
  <si>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</si>
  <si>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</si>
  <si>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</si>
  <si>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</si>
  <si>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</si>
  <si>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</si>
  <si>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</si>
  <si>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</si>
  <si>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</si>
  <si>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</si>
  <si>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</si>
  <si>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</si>
  <si>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</si>
  <si>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</si>
  <si>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</si>
  <si>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</si>
  <si>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</si>
  <si>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</si>
  <si>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</si>
  <si>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</si>
  <si>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</si>
  <si>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</si>
  <si>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</si>
  <si>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</si>
  <si>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</si>
  <si>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</si>
  <si>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</si>
  <si>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</si>
  <si>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</si>
  <si>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</si>
  <si>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</si>
  <si>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</si>
  <si>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</si>
  <si>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</si>
  <si>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</si>
  <si>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</si>
  <si>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</si>
  <si>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</si>
  <si>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</si>
  <si>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</si>
  <si>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</si>
  <si>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</si>
  <si>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</si>
  <si>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</si>
  <si>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</si>
  <si>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</si>
  <si>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</si>
  <si>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</si>
  <si>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</si>
  <si>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</si>
  <si>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</si>
  <si>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</si>
  <si>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</si>
  <si>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</si>
  <si>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</si>
  <si>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</si>
  <si>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</si>
  <si>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</si>
  <si>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</si>
  <si>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</si>
  <si>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</si>
  <si>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</si>
  <si>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</si>
  <si>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</si>
  <si>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</si>
  <si>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</si>
  <si>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</si>
  <si>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</si>
  <si>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</si>
  <si>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</si>
  <si>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</si>
  <si>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</si>
  <si>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</si>
  <si>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</si>
  <si>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</si>
  <si>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</si>
  <si>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</si>
  <si>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</si>
  <si>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</si>
  <si>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</si>
  <si>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</si>
  <si>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</si>
  <si>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</si>
  <si>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</si>
  <si>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</si>
  <si>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</si>
  <si>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</si>
  <si>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</si>
  <si>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</si>
  <si>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</si>
  <si>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</si>
  <si>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</si>
  <si>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</si>
  <si>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</si>
  <si>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</si>
  <si>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</si>
  <si>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</si>
  <si>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</si>
  <si>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</si>
  <si>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</si>
  <si>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</si>
  <si>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</si>
  <si>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</si>
  <si>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</si>
  <si>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</si>
  <si>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</si>
  <si>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</si>
  <si>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</si>
  <si>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</si>
  <si>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</si>
  <si>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</si>
  <si>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</si>
  <si>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</si>
  <si>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</si>
  <si>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</si>
  <si>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</si>
  <si>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</si>
  <si>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</si>
  <si>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</si>
  <si>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</si>
  <si>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</si>
  <si>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</si>
  <si>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</si>
  <si>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</si>
  <si>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</si>
  <si>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</si>
  <si>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</si>
  <si>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</si>
  <si>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</si>
  <si>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</si>
  <si>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</si>
  <si>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</si>
  <si>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</si>
  <si>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</si>
  <si>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</si>
  <si>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</si>
  <si>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</si>
  <si>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</si>
  <si>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</si>
  <si>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</si>
  <si>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</si>
  <si>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</si>
  <si>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</si>
  <si>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</si>
  <si>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</si>
  <si>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</si>
  <si>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</si>
  <si>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</si>
  <si>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</si>
  <si>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</si>
  <si>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</si>
  <si>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</si>
  <si>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</si>
  <si>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</si>
  <si>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</si>
  <si>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</si>
  <si>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</si>
  <si>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</si>
  <si>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</si>
  <si>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</si>
  <si>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</si>
  <si>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</si>
  <si>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</si>
  <si>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</si>
  <si>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</si>
  <si>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</si>
  <si>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</si>
  <si>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</si>
  <si>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</si>
  <si>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</si>
  <si>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</si>
  <si>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</si>
  <si>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</si>
  <si>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</si>
  <si>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</si>
  <si>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</si>
  <si>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</si>
  <si>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</si>
  <si>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</si>
  <si>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</si>
  <si>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</si>
  <si>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</si>
  <si>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</si>
  <si>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</si>
  <si>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</si>
  <si>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</si>
  <si>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</si>
  <si>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</si>
  <si>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</si>
  <si>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</si>
  <si>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</si>
  <si>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</si>
  <si>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</si>
  <si>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</si>
  <si>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</si>
  <si>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</si>
  <si>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</si>
  <si>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</si>
  <si>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</si>
  <si>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</si>
  <si>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</si>
  <si>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</si>
  <si>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</si>
  <si>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</si>
  <si>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</si>
  <si>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</si>
  <si>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</si>
  <si>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</si>
  <si>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</si>
  <si>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</si>
  <si>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</si>
  <si>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</si>
  <si>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</si>
  <si>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</si>
  <si>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</si>
  <si>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</si>
  <si>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</si>
  <si>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</si>
  <si>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</si>
  <si>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</si>
  <si>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</si>
  <si>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</si>
  <si>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</si>
  <si>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</si>
  <si>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</si>
  <si>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</si>
  <si>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</si>
  <si>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</si>
  <si>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</si>
  <si>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</si>
  <si>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</si>
  <si>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</si>
  <si>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</si>
  <si>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</si>
  <si>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</si>
  <si>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</si>
  <si>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</si>
  <si>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</si>
  <si>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</si>
  <si>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</si>
  <si>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</si>
  <si>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</si>
  <si>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</si>
  <si>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</si>
  <si>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</si>
  <si>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</si>
  <si>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</si>
  <si>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</si>
  <si>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</si>
  <si>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</si>
  <si>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</si>
  <si>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</si>
  <si>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</si>
  <si>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</si>
  <si>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</si>
  <si>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</si>
  <si>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</si>
  <si>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</si>
  <si>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</si>
  <si>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</si>
  <si>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</si>
  <si>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</si>
  <si>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</si>
  <si>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</si>
  <si>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</si>
  <si>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</si>
  <si>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</si>
  <si>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</si>
  <si>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</si>
  <si>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</si>
  <si>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</si>
  <si>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</si>
  <si>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</si>
  <si>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</si>
  <si>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</si>
  <si>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</si>
  <si>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</si>
  <si>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</si>
  <si>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</si>
  <si>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</si>
  <si>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</si>
  <si>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</si>
  <si>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</si>
  <si>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</si>
  <si>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</si>
  <si>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</si>
  <si>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</si>
  <si>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</si>
  <si>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</si>
  <si>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</si>
  <si>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</si>
  <si>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</si>
  <si>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</si>
  <si>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</si>
  <si>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</si>
  <si>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</si>
  <si>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</si>
  <si>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</si>
  <si>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</si>
  <si>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</si>
  <si>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</si>
  <si>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</si>
  <si>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</si>
  <si>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</si>
  <si>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</si>
  <si>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</si>
  <si>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</si>
  <si>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</si>
  <si>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</si>
  <si>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</si>
  <si>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</si>
  <si>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</si>
  <si>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</si>
  <si>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</si>
  <si>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</si>
  <si>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</si>
  <si>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</si>
  <si>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</si>
  <si>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</si>
  <si>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</si>
  <si>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</si>
  <si>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</si>
  <si>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</si>
  <si>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</si>
  <si>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</si>
  <si>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</si>
  <si>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</si>
  <si>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</si>
  <si>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</si>
  <si>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</si>
  <si>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</si>
  <si>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</si>
  <si>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</si>
  <si>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</si>
  <si>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</si>
  <si>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</si>
  <si>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</si>
  <si>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</si>
  <si>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</si>
  <si>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</si>
  <si>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</si>
  <si>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</si>
  <si>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</si>
  <si>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</si>
  <si>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</si>
  <si>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</si>
  <si>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</si>
  <si>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</si>
  <si>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</si>
  <si>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</si>
  <si>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</si>
  <si>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</si>
  <si>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</si>
  <si>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</si>
  <si>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</si>
  <si>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</si>
  <si>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</si>
  <si>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</si>
  <si>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</si>
  <si>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</si>
  <si>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</si>
  <si>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</si>
  <si>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</si>
  <si>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</si>
  <si>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</si>
  <si>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</si>
  <si>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</si>
  <si>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</si>
  <si>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</si>
  <si>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</si>
  <si>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</si>
  <si>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</si>
  <si>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</si>
  <si>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</si>
  <si>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</si>
  <si>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</si>
  <si>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</si>
  <si>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</si>
  <si>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</si>
  <si>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</si>
  <si>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</si>
  <si>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</si>
  <si>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</si>
  <si>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</si>
  <si>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</si>
  <si>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</si>
  <si>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</si>
  <si>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</si>
  <si>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</si>
  <si>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</si>
  <si>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</si>
  <si>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</si>
  <si>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</si>
  <si>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</si>
  <si>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</si>
  <si>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</si>
  <si>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</si>
  <si>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</si>
  <si>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</si>
  <si>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</si>
  <si>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</si>
  <si>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</si>
  <si>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</si>
  <si>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</si>
  <si>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</si>
  <si>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</si>
  <si>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</si>
  <si>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</si>
  <si>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</si>
  <si>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</si>
  <si>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</si>
  <si>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</si>
  <si>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</si>
  <si>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</si>
  <si>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</si>
  <si>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</si>
  <si>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</si>
  <si>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</si>
  <si>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</si>
  <si>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</si>
  <si>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</si>
  <si>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</si>
  <si>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</si>
  <si>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</si>
  <si>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</si>
  <si>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</si>
  <si>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</si>
  <si>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</si>
  <si>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</si>
  <si>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</si>
  <si>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</si>
  <si>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</si>
  <si>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</si>
  <si>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</si>
  <si>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</si>
  <si>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</si>
  <si>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</si>
  <si>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</si>
  <si>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</si>
  <si>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</si>
  <si>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</si>
  <si>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</si>
  <si>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</si>
  <si>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</si>
  <si>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</si>
  <si>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</si>
  <si>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</si>
  <si>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</si>
  <si>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</si>
  <si>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</si>
  <si>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</si>
  <si>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</si>
  <si>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</si>
  <si>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</si>
  <si>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</si>
  <si>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</si>
  <si>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</si>
  <si>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</si>
  <si>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</si>
  <si>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</si>
  <si>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</si>
  <si>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</si>
  <si>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</si>
  <si>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</si>
  <si>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</si>
  <si>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</si>
  <si>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</si>
  <si>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</si>
  <si>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</si>
  <si>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</si>
  <si>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</si>
  <si>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</si>
  <si>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</si>
  <si>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</si>
  <si>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</si>
  <si>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</si>
  <si>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</si>
  <si>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</si>
  <si>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</si>
  <si>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</si>
  <si>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</si>
  <si>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</si>
  <si>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</si>
  <si>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</si>
  <si>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</si>
  <si>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</si>
  <si>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</si>
  <si>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</si>
  <si>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</si>
  <si>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</si>
  <si>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</si>
  <si>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</si>
  <si>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</si>
  <si>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</si>
  <si>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</si>
  <si>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</si>
  <si>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</si>
  <si>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</si>
  <si>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</si>
  <si>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</si>
  <si>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</si>
  <si>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</si>
  <si>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</si>
  <si>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</si>
  <si>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</si>
  <si>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</si>
  <si>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</si>
  <si>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</si>
  <si>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</si>
  <si>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</si>
  <si>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</si>
  <si>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</si>
  <si>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</si>
  <si>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</si>
  <si>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</si>
  <si>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</si>
  <si>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</si>
  <si>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</si>
  <si>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</si>
  <si>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</si>
  <si>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</si>
  <si>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</si>
  <si>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</si>
  <si>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</si>
  <si>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</si>
  <si>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</si>
  <si>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</si>
  <si>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</si>
  <si>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</si>
  <si>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</si>
  <si>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</si>
  <si>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</si>
  <si>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</si>
  <si>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</si>
  <si>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</si>
  <si>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</si>
  <si>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</si>
  <si>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</si>
  <si>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</si>
  <si>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</si>
  <si>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</si>
  <si>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</si>
  <si>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</si>
  <si>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</si>
  <si>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</si>
  <si>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</si>
  <si>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</si>
  <si>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</si>
  <si>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</si>
  <si>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</si>
  <si>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</si>
  <si>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</si>
  <si>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</si>
  <si>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</si>
  <si>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</si>
  <si>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</si>
  <si>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</si>
  <si>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</si>
  <si>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</si>
  <si>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</si>
  <si>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</si>
  <si>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</si>
  <si>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</si>
  <si>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</si>
  <si>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</si>
  <si>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</si>
  <si>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</si>
  <si>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</si>
  <si>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</si>
  <si>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</si>
  <si>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</si>
  <si>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</si>
  <si>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</si>
  <si>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</si>
  <si>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</si>
  <si>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</si>
  <si>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</si>
  <si>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</si>
  <si>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</si>
  <si>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</si>
  <si>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</si>
  <si>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</si>
  <si>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</si>
  <si>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</si>
  <si>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</si>
  <si>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</si>
  <si>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</si>
  <si>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</si>
  <si>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</si>
  <si>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</si>
  <si>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</si>
  <si>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</si>
  <si>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</si>
  <si>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</si>
  <si>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</si>
  <si>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</si>
  <si>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</si>
  <si>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</si>
  <si>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</si>
  <si>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</si>
  <si>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</si>
  <si>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</si>
  <si>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</si>
  <si>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</si>
  <si>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</si>
  <si>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</si>
  <si>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</si>
  <si>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</si>
  <si>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</si>
  <si>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</si>
  <si>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</si>
  <si>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</si>
  <si>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</si>
  <si>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</si>
  <si>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</si>
  <si>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</si>
  <si>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</si>
  <si>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</si>
  <si>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</si>
  <si>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</si>
  <si>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</si>
  <si>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</si>
  <si>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</si>
  <si>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</si>
  <si>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</si>
  <si>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</si>
  <si>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</si>
  <si>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</si>
  <si>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</si>
  <si>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</si>
  <si>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</si>
  <si>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</si>
  <si>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</si>
  <si>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</si>
  <si>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</si>
  <si>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</si>
  <si>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</si>
  <si>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</si>
  <si>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</si>
  <si>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</si>
  <si>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</si>
  <si>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</si>
  <si>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</si>
  <si>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</si>
  <si>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</si>
  <si>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</si>
  <si>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</si>
  <si>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</si>
  <si>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</si>
  <si>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</si>
  <si>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</si>
  <si>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</si>
  <si>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</si>
  <si>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</si>
  <si>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</si>
  <si>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</si>
  <si>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</si>
  <si>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</si>
  <si>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</si>
  <si>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</si>
  <si>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</si>
  <si>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</si>
  <si>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</si>
  <si>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</si>
  <si>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</si>
  <si>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</si>
  <si>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</si>
  <si>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</si>
  <si>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</si>
  <si>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</si>
  <si>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</si>
  <si>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</si>
  <si>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</si>
  <si>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</si>
  <si>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</si>
  <si>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</si>
  <si>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</si>
  <si>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</si>
  <si>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</si>
  <si>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</si>
  <si>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</si>
  <si>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</si>
  <si>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</si>
  <si>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</si>
  <si>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</si>
  <si>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</si>
  <si>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</si>
  <si>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</si>
  <si>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</si>
  <si>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</si>
  <si>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</si>
  <si>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</si>
  <si>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</si>
  <si>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</si>
  <si>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</si>
  <si>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</si>
  <si>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</si>
  <si>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</si>
  <si>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</si>
  <si>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</si>
  <si>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</si>
  <si>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</si>
  <si>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</si>
  <si>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</si>
  <si>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</si>
  <si>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</si>
  <si>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</si>
  <si>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</si>
  <si>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</si>
  <si>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</si>
  <si>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</si>
  <si>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</si>
  <si>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</si>
  <si>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</si>
  <si>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</si>
  <si>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</si>
  <si>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</si>
  <si>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</si>
  <si>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</si>
  <si>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</si>
  <si>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</si>
  <si>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</si>
  <si>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</si>
  <si>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</si>
  <si>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</si>
  <si>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</si>
  <si>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</si>
  <si>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</si>
  <si>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</si>
  <si>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</si>
  <si>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</si>
  <si>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</si>
  <si>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</si>
  <si>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</si>
  <si>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</si>
  <si>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</si>
  <si>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</si>
  <si>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</si>
  <si>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</si>
  <si>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</si>
  <si>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</si>
  <si>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</si>
  <si>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</si>
  <si>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</si>
  <si>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</si>
  <si>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</si>
  <si>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</si>
  <si>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</si>
  <si>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</si>
  <si>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</si>
  <si>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</si>
  <si>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</si>
  <si>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</si>
  <si>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</si>
  <si>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</si>
  <si>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</si>
  <si>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</si>
  <si>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</si>
  <si>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</si>
  <si>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</si>
  <si>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</si>
  <si>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</si>
  <si>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</si>
  <si>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</si>
  <si>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</si>
  <si>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</si>
  <si>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</si>
  <si>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</si>
  <si>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</si>
  <si>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</si>
  <si>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</si>
  <si>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</si>
  <si>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</si>
  <si>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</si>
  <si>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</si>
  <si>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</si>
  <si>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</si>
  <si>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</si>
  <si>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</si>
  <si>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</si>
  <si>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</si>
  <si>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</si>
  <si>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</si>
  <si>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</si>
  <si>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</si>
  <si>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</si>
  <si>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</si>
  <si>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</si>
  <si>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</si>
  <si>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</si>
  <si>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</si>
  <si>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</si>
  <si>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</si>
  <si>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</si>
  <si>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</si>
  <si>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</si>
  <si>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</si>
  <si>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</si>
  <si>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</si>
  <si>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</si>
  <si>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</si>
  <si>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</si>
  <si>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</si>
  <si>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</si>
  <si>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</si>
  <si>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</si>
  <si>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</si>
  <si>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</si>
  <si>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</si>
  <si>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</si>
  <si>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</si>
  <si>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</si>
  <si>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</si>
  <si>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</si>
  <si>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</si>
  <si>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</si>
  <si>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</si>
  <si>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</si>
  <si>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</si>
  <si>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</si>
  <si>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</si>
  <si>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</si>
  <si>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</si>
  <si>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</si>
  <si>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</si>
  <si>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</si>
  <si>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</si>
  <si>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</si>
  <si>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</si>
  <si>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</si>
  <si>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</si>
  <si>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</si>
  <si>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</si>
  <si>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</si>
  <si>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</si>
  <si>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</si>
  <si>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</si>
  <si>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</si>
  <si>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</si>
  <si>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</si>
  <si>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</si>
  <si>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</si>
  <si>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</si>
  <si>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</si>
  <si>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</si>
  <si>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</si>
  <si>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</si>
  <si>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</si>
  <si>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</si>
  <si>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</si>
  <si>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</si>
  <si>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</si>
  <si>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</si>
  <si>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</si>
  <si>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</si>
  <si>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</si>
  <si>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</si>
  <si>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</si>
  <si>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</si>
  <si>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</si>
  <si>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</si>
  <si>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</si>
  <si>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</si>
  <si>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</si>
  <si>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</si>
  <si>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</si>
  <si>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</si>
  <si>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</si>
  <si>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</si>
  <si>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</si>
  <si>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</si>
  <si>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</si>
  <si>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</si>
  <si>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</si>
  <si>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</si>
  <si>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</si>
  <si>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</si>
  <si>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</si>
  <si>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</si>
  <si>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</si>
  <si>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</si>
  <si>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</si>
  <si>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</si>
  <si>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</si>
  <si>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</si>
  <si>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</si>
  <si>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</si>
  <si>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</si>
  <si>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</si>
  <si>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</si>
  <si>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</si>
  <si>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</si>
  <si>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</si>
  <si>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</si>
  <si>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</si>
  <si>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</si>
  <si>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</si>
  <si>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</si>
  <si>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</si>
  <si>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</si>
  <si>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</si>
  <si>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</si>
  <si>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</si>
  <si>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</si>
  <si>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</si>
  <si>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</si>
  <si>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</si>
  <si>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</si>
  <si>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</si>
  <si>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</si>
  <si>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</si>
  <si>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</si>
  <si>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</si>
  <si>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</si>
  <si>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</si>
  <si>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</si>
  <si>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</si>
  <si>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</si>
  <si>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</si>
  <si>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</si>
  <si>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</si>
  <si>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</si>
  <si>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</si>
  <si>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</si>
  <si>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</si>
  <si>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</si>
  <si>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</si>
  <si>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</si>
  <si>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</si>
  <si>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</si>
  <si>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</si>
  <si>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</si>
  <si>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</si>
  <si>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</si>
  <si>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</si>
  <si>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</si>
  <si>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</si>
  <si>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</si>
  <si>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</si>
  <si>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</si>
  <si>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</si>
  <si>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</si>
  <si>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</si>
  <si>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</si>
  <si>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</si>
  <si>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</si>
  <si>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</si>
  <si>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</si>
  <si>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</si>
  <si>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</si>
  <si>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</si>
  <si>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</si>
  <si>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</si>
  <si>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</si>
  <si>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</si>
  <si>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</si>
  <si>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</si>
  <si>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</si>
  <si>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</si>
  <si>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</si>
  <si>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</si>
  <si>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</si>
  <si>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</si>
  <si>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</si>
  <si>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</si>
  <si>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</si>
  <si>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</si>
  <si>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</si>
  <si>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</si>
  <si>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</si>
  <si>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</si>
  <si>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</si>
  <si>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</si>
  <si>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</si>
  <si>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</si>
  <si>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</si>
  <si>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</si>
  <si>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</si>
  <si>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</si>
  <si>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</si>
  <si>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</si>
  <si>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</si>
  <si>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</si>
  <si>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</si>
  <si>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</si>
  <si>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</si>
  <si>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</si>
  <si>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</si>
  <si>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</si>
  <si>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</si>
  <si>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</si>
  <si>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</si>
  <si>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</si>
  <si>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</si>
  <si>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</si>
  <si>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</si>
  <si>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</si>
  <si>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</si>
  <si>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</si>
  <si>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</si>
  <si>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</si>
  <si>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</si>
  <si>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</si>
  <si>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</si>
  <si>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</si>
  <si>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</si>
  <si>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</si>
  <si>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</si>
  <si>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</si>
  <si>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</si>
  <si>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</si>
  <si>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</si>
  <si>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</si>
  <si>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</si>
  <si>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</si>
  <si>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</si>
  <si>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</si>
  <si>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</si>
  <si>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</si>
  <si>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</si>
  <si>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</si>
  <si>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</si>
  <si>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</si>
  <si>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</si>
  <si>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</si>
  <si>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</si>
  <si>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</si>
  <si>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</si>
  <si>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</si>
  <si>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</si>
  <si>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</si>
  <si>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</si>
  <si>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</si>
  <si>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</si>
  <si>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</si>
  <si>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</si>
  <si>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</si>
  <si>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</si>
  <si>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</si>
  <si>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</si>
  <si>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</si>
  <si>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</si>
  <si>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</si>
  <si>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</si>
  <si>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</si>
  <si>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</si>
  <si>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</si>
  <si>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</si>
  <si>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</si>
  <si>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</si>
  <si>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</si>
  <si>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</si>
  <si>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</si>
  <si>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</si>
  <si>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</si>
  <si>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</si>
  <si>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</si>
  <si>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</si>
  <si>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</si>
  <si>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</si>
  <si>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</si>
  <si>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</si>
  <si>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</si>
  <si>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</si>
  <si>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</si>
  <si>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</si>
  <si>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</si>
  <si>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</si>
  <si>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</si>
  <si>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</si>
  <si>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</si>
  <si>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</si>
  <si>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</si>
  <si>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</si>
  <si>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</si>
  <si>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</si>
  <si>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</si>
  <si>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</si>
  <si>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</si>
  <si>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</si>
  <si>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</si>
  <si>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</si>
  <si>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</si>
  <si>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</si>
  <si>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</si>
  <si>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</si>
  <si>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</si>
  <si>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</si>
  <si>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</si>
  <si>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</si>
  <si>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</si>
  <si>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</si>
  <si>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</si>
  <si>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</si>
  <si>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</si>
  <si>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</si>
  <si>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</si>
  <si>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</si>
  <si>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</si>
  <si>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</si>
  <si>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</si>
  <si>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</si>
  <si>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</si>
  <si>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</si>
  <si>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</si>
  <si>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</si>
  <si>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</si>
  <si>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</si>
  <si>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</si>
  <si>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</si>
  <si>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</si>
  <si>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</si>
  <si>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</si>
  <si>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</si>
  <si>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</si>
  <si>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</si>
  <si>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</si>
  <si>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</si>
  <si>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</si>
  <si>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</si>
  <si>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</si>
  <si>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</si>
  <si>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</si>
  <si>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</si>
  <si>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</si>
  <si>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</si>
  <si>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</si>
  <si>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</si>
  <si>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</si>
  <si>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</si>
  <si>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</si>
  <si>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</si>
  <si>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</si>
  <si>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</si>
  <si>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</si>
  <si>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</si>
  <si>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</si>
  <si>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</si>
  <si>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</si>
  <si>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</si>
  <si>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</si>
  <si>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</si>
  <si>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</si>
  <si>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</si>
  <si>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</si>
  <si>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</si>
  <si>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</si>
  <si>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</si>
  <si>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</si>
  <si>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</si>
  <si>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</si>
  <si>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</si>
  <si>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</si>
  <si>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</si>
  <si>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</si>
  <si>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</si>
  <si>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</si>
  <si>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</si>
  <si>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</si>
  <si>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</si>
  <si>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</si>
  <si>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</si>
  <si>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</si>
  <si>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</si>
  <si>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</si>
  <si>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</si>
  <si>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</si>
  <si>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</si>
  <si>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</si>
  <si>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</si>
  <si>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</si>
  <si>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</si>
  <si>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</si>
  <si>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</si>
  <si>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</si>
  <si>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</si>
  <si>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</si>
  <si>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</si>
  <si>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</si>
  <si>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</si>
  <si>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</si>
  <si>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</si>
  <si>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</si>
  <si>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</si>
  <si>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</si>
  <si>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</si>
  <si>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</si>
  <si>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</si>
  <si>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</si>
  <si>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</si>
  <si>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</si>
  <si>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</si>
  <si>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</si>
  <si>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</si>
  <si>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</si>
  <si>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</si>
  <si>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</si>
  <si>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</si>
  <si>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</si>
  <si>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</si>
  <si>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</si>
  <si>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</si>
  <si>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</si>
  <si>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</si>
  <si>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</si>
  <si>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</si>
  <si>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</si>
  <si>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</si>
  <si>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</si>
  <si>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</si>
  <si>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</si>
  <si>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</si>
  <si>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</si>
  <si>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</si>
  <si>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</si>
  <si>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</si>
  <si>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</si>
  <si>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</si>
  <si>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</si>
  <si>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</si>
  <si>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</si>
  <si>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</si>
  <si>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</si>
  <si>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</si>
  <si>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</si>
  <si>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</si>
  <si>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</si>
  <si>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</si>
  <si>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</si>
  <si>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</si>
  <si>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</si>
  <si>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</si>
  <si>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</si>
  <si>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</si>
  <si>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</si>
  <si>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</si>
  <si>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</si>
  <si>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</si>
  <si>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</si>
  <si>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</si>
  <si>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</si>
  <si>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</si>
  <si>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</si>
  <si>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</si>
  <si>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</si>
  <si>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</si>
  <si>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</si>
  <si>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</si>
  <si>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</si>
  <si>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</si>
  <si>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</si>
  <si>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</si>
  <si>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</si>
  <si>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</si>
  <si>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</si>
  <si>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</si>
  <si>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</si>
  <si>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</si>
  <si>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</si>
  <si>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</si>
  <si>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</si>
  <si>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</si>
  <si>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</si>
  <si>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</si>
  <si>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</si>
  <si>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</si>
  <si>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</si>
  <si>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</si>
  <si>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</si>
  <si>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</si>
  <si>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</si>
  <si>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</si>
  <si>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</si>
  <si>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</si>
  <si>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</si>
  <si>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</si>
  <si>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</si>
  <si>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</si>
  <si>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</si>
  <si>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</si>
  <si>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</si>
  <si>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</si>
  <si>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</si>
  <si>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</si>
  <si>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</si>
  <si>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</si>
  <si>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</si>
  <si>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</si>
  <si>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</si>
  <si>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</si>
  <si>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</si>
  <si>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</si>
  <si>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</si>
  <si>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</si>
  <si>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</si>
  <si>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</si>
  <si>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</si>
  <si>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</si>
  <si>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</si>
  <si>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</si>
  <si>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</si>
  <si>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</si>
  <si>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</si>
  <si>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</si>
  <si>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</si>
  <si>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</si>
  <si>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</si>
  <si>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</si>
  <si>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</si>
  <si>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</si>
  <si>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</si>
  <si>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</si>
  <si>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</si>
  <si>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</si>
  <si>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</si>
  <si>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</si>
  <si>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</si>
  <si>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</si>
  <si>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</si>
  <si>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</si>
  <si>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</si>
  <si>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</si>
  <si>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</si>
  <si>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</si>
  <si>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</si>
  <si>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</si>
  <si>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</si>
  <si>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</si>
  <si>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</si>
  <si>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</si>
  <si>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</si>
  <si>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</si>
  <si>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</si>
  <si>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</si>
  <si>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</si>
  <si>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</si>
  <si>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</si>
  <si>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</si>
  <si>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</si>
  <si>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</si>
  <si>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</si>
  <si>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</si>
  <si>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</si>
  <si>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</si>
  <si>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</si>
  <si>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</si>
  <si>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</si>
  <si>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</si>
  <si>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</si>
  <si>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</si>
  <si>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</si>
  <si>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</si>
  <si>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</si>
  <si>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</si>
  <si>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</si>
  <si>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</si>
  <si>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</si>
  <si>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</si>
  <si>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</si>
  <si>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</si>
  <si>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</si>
  <si>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</si>
  <si>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</si>
  <si>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</si>
  <si>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</si>
  <si>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</si>
  <si>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</si>
  <si>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</si>
  <si>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</si>
  <si>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</si>
  <si>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</si>
  <si>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</si>
  <si>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</si>
  <si>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</si>
  <si>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</si>
  <si>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</si>
  <si>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</si>
  <si>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</si>
  <si>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</si>
  <si>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</si>
  <si>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</si>
  <si>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</si>
  <si>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</si>
  <si>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</si>
  <si>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</si>
  <si>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</si>
  <si>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</si>
  <si>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</si>
  <si>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</si>
  <si>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</si>
  <si>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</si>
  <si>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</si>
  <si>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</si>
  <si>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</si>
  <si>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</si>
  <si>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</si>
  <si>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</si>
  <si>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</si>
  <si>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</si>
  <si>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</si>
  <si>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</si>
  <si>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</si>
  <si>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</si>
  <si>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</si>
  <si>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</si>
  <si>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</si>
  <si>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</si>
  <si>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</si>
  <si>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</si>
  <si>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</si>
  <si>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</si>
  <si>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</si>
  <si>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</si>
  <si>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</si>
  <si>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</si>
  <si>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</si>
  <si>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</si>
  <si>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</si>
  <si>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</si>
  <si>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</si>
  <si>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</si>
  <si>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</si>
  <si>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</si>
  <si>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</si>
  <si>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</si>
  <si>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</si>
  <si>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</si>
  <si>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</si>
  <si>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</si>
  <si>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</si>
  <si>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</si>
  <si>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</si>
  <si>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</si>
  <si>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</si>
  <si>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</si>
  <si>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</si>
  <si>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</si>
  <si>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</si>
  <si>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</si>
  <si>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</si>
  <si>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</si>
  <si>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</si>
  <si>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</si>
  <si>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</si>
  <si>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</si>
  <si>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</si>
  <si>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</si>
  <si>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</si>
  <si>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</si>
  <si>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</si>
  <si>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</si>
  <si>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</si>
  <si>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</si>
  <si>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</si>
  <si>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</si>
  <si>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</si>
  <si>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</si>
  <si>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</si>
  <si>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</si>
  <si>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</si>
  <si>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</si>
  <si>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</si>
  <si>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</si>
  <si>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</si>
  <si>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</si>
  <si>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</si>
  <si>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</si>
  <si>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</si>
  <si>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</si>
  <si>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</si>
  <si>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</si>
  <si>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</si>
  <si>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</si>
  <si>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</si>
  <si>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</si>
  <si>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</si>
  <si>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</si>
  <si>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</si>
  <si>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</si>
  <si>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</si>
  <si>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</si>
  <si>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</si>
  <si>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</si>
  <si>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</si>
  <si>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</si>
  <si>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</si>
  <si>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</si>
  <si>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</si>
  <si>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</si>
  <si>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</si>
  <si>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</si>
  <si>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</si>
  <si>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</si>
  <si>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</si>
  <si>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</si>
  <si>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</si>
  <si>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</si>
  <si>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</si>
  <si>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</si>
  <si>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</si>
  <si>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</si>
  <si>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</si>
  <si>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</si>
  <si>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</si>
  <si>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</si>
  <si>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</si>
  <si>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</si>
  <si>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</si>
  <si>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</si>
  <si>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</si>
  <si>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</si>
  <si>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</si>
  <si>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</si>
  <si>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</si>
  <si>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</si>
  <si>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</si>
  <si>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</si>
  <si>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</si>
  <si>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</si>
  <si>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</si>
  <si>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</si>
  <si>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</si>
  <si>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</si>
  <si>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</si>
  <si>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</si>
  <si>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</si>
  <si>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</si>
  <si>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</si>
  <si>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</si>
  <si>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</si>
  <si>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</si>
  <si>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</si>
  <si>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</si>
  <si>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</si>
  <si>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</si>
  <si>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</si>
  <si>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</si>
  <si>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</si>
  <si>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</si>
  <si>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</si>
  <si>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</si>
  <si>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</si>
  <si>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</si>
  <si>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</si>
  <si>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</si>
  <si>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</si>
  <si>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</si>
  <si>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</si>
  <si>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</si>
  <si>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</si>
  <si>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</si>
  <si>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</si>
  <si>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</si>
  <si>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</si>
  <si>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</si>
  <si>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</si>
  <si>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</si>
  <si>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</si>
  <si>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</si>
  <si>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</si>
  <si>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</si>
  <si>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</si>
  <si>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</si>
  <si>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</si>
  <si>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</si>
  <si>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</si>
  <si>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</si>
  <si>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</si>
  <si>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</si>
  <si>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</si>
  <si>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</si>
  <si>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</si>
  <si>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</si>
  <si>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</si>
  <si>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</si>
  <si>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</si>
  <si>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</si>
  <si>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</si>
  <si>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</si>
  <si>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</si>
  <si>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</si>
  <si>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</si>
  <si>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</si>
  <si>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</si>
  <si>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</si>
  <si>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</si>
  <si>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</si>
  <si>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</si>
  <si>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</si>
  <si>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</si>
  <si>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</si>
  <si>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</si>
  <si>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</si>
  <si>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</si>
  <si>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</si>
  <si>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</si>
  <si>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</si>
  <si>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</si>
  <si>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</si>
  <si>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</si>
  <si>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</si>
  <si>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</si>
  <si>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</si>
  <si>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</si>
  <si>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</si>
  <si>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</si>
  <si>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</si>
  <si>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</si>
  <si>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</si>
  <si>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</si>
  <si>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</si>
  <si>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</si>
  <si>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</si>
  <si>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</si>
  <si>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</si>
  <si>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</si>
  <si>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</si>
  <si>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</si>
  <si>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</si>
  <si>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</si>
  <si>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</si>
  <si>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</si>
  <si>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</si>
  <si>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</si>
  <si>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</si>
  <si>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</si>
  <si>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</si>
  <si>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</si>
  <si>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</si>
  <si>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</si>
  <si>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</si>
  <si>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</si>
  <si>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</si>
  <si>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</si>
  <si>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</si>
  <si>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</si>
  <si>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</si>
  <si>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</si>
  <si>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</si>
  <si>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</si>
  <si>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</si>
  <si>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</si>
  <si>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</si>
  <si>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</si>
  <si>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</si>
  <si>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</si>
  <si>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</si>
  <si>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</si>
  <si>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</si>
  <si>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</si>
  <si>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</si>
  <si>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</si>
  <si>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</si>
  <si>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</si>
  <si>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</si>
  <si>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</si>
  <si>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</si>
  <si>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</si>
  <si>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</si>
  <si>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</si>
  <si>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</si>
  <si>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</si>
  <si>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</si>
  <si>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</si>
  <si>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</si>
  <si>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</si>
  <si>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</si>
  <si>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</si>
  <si>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</si>
  <si>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</si>
  <si>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</si>
  <si>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</si>
  <si>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</si>
  <si>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</si>
  <si>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</si>
  <si>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</si>
  <si>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</si>
  <si>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</si>
  <si>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</si>
  <si>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</si>
  <si>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</si>
  <si>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</si>
  <si>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</si>
  <si>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</si>
  <si>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</si>
  <si>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</si>
  <si>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</si>
  <si>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</si>
  <si>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</si>
  <si>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</si>
  <si>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</si>
  <si>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</si>
  <si>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</si>
  <si>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</si>
  <si>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</si>
  <si>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</si>
  <si>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</si>
  <si>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</si>
  <si>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</si>
  <si>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</si>
  <si>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</si>
  <si>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</si>
  <si>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</si>
  <si>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</si>
  <si>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</si>
  <si>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</si>
  <si>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</si>
  <si>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</si>
  <si>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</si>
  <si>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</si>
  <si>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</si>
  <si>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</si>
  <si>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</si>
  <si>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</si>
  <si>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</si>
  <si>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</si>
  <si>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</si>
  <si>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</si>
  <si>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</si>
  <si>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</si>
  <si>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</si>
  <si>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</si>
  <si>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</si>
  <si>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</si>
  <si>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</si>
  <si>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</si>
  <si>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</si>
  <si>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</si>
  <si>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</si>
  <si>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</si>
  <si>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</si>
  <si>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</si>
  <si>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</si>
  <si>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</si>
  <si>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</si>
  <si>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</si>
  <si>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</si>
  <si>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</si>
  <si>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</si>
  <si>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</si>
  <si>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</si>
  <si>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</si>
  <si>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</si>
  <si>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</si>
  <si>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</si>
  <si>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</si>
  <si>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</si>
  <si>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</si>
  <si>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</si>
  <si>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</si>
  <si>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</si>
  <si>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</si>
  <si>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</si>
  <si>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</si>
  <si>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</si>
  <si>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</si>
  <si>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</si>
  <si>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</si>
  <si>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</si>
  <si>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</si>
  <si>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</si>
  <si>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</si>
  <si>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</si>
  <si>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</si>
  <si>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</si>
  <si>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</si>
  <si>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</si>
  <si>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</si>
  <si>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</si>
  <si>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</si>
  <si>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</si>
  <si>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</si>
  <si>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</si>
  <si>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</si>
  <si>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</si>
  <si>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</si>
  <si>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</si>
  <si>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</si>
  <si>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</si>
  <si>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</si>
  <si>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</si>
  <si>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</si>
  <si>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</si>
  <si>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</si>
  <si>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</si>
  <si>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</si>
  <si>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</si>
  <si>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</si>
  <si>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</si>
  <si>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</si>
  <si>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</si>
  <si>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</si>
  <si>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</si>
  <si>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</si>
  <si>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</si>
  <si>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</si>
  <si>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</si>
  <si>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</si>
  <si>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</si>
  <si>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</si>
  <si>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</si>
  <si>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</si>
  <si>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</si>
  <si>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</si>
  <si>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</si>
  <si>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</si>
  <si>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</si>
  <si>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</si>
  <si>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</si>
  <si>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</si>
  <si>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</si>
  <si>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</si>
  <si>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</si>
  <si>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</si>
  <si>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</si>
  <si>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</si>
  <si>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</si>
  <si>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</si>
  <si>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</si>
  <si>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</si>
  <si>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</si>
  <si>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</si>
  <si>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</si>
  <si>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</si>
  <si>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</si>
  <si>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</si>
  <si>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</si>
  <si>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</si>
  <si>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</si>
  <si>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</si>
  <si>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</si>
  <si>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</si>
  <si>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</si>
  <si>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</si>
  <si>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</si>
  <si>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</si>
  <si>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</si>
  <si>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</si>
  <si>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</si>
  <si>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</si>
  <si>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</si>
  <si>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</si>
  <si>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</si>
  <si>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</si>
  <si>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</si>
  <si>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</si>
  <si>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</si>
  <si>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</si>
  <si>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</si>
  <si>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</si>
  <si>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</si>
  <si>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</si>
  <si>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</si>
  <si>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</si>
  <si>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</si>
  <si>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</si>
  <si>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</si>
  <si>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</si>
  <si>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</si>
  <si>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</si>
  <si>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</si>
  <si>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</si>
  <si>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</si>
  <si>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</si>
  <si>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</si>
  <si>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</si>
  <si>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</si>
  <si>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</si>
  <si>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</si>
  <si>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</si>
  <si>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</si>
  <si>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</si>
  <si>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</si>
  <si>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</si>
  <si>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</si>
  <si>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</si>
  <si>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</si>
  <si>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</si>
  <si>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</si>
  <si>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</si>
  <si>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</si>
  <si>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</si>
  <si>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</si>
  <si>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</si>
  <si>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</si>
  <si>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</si>
  <si>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</si>
  <si>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</si>
  <si>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</si>
  <si>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</si>
  <si>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</si>
  <si>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</si>
  <si>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</si>
  <si>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</si>
  <si>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</si>
  <si>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</si>
  <si>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</si>
  <si>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</si>
  <si>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</si>
  <si>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</si>
  <si>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</si>
  <si>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</si>
  <si>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</si>
  <si>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</si>
  <si>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</si>
  <si>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</si>
  <si>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</si>
  <si>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</si>
  <si>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</si>
  <si>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</si>
  <si>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</si>
  <si>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</si>
  <si>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</si>
  <si>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</si>
  <si>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</si>
  <si>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</si>
  <si>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</si>
  <si>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</si>
  <si>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</si>
  <si>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</si>
  <si>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</si>
  <si>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</si>
  <si>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</si>
  <si>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</si>
  <si>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</si>
  <si>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</si>
  <si>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</si>
  <si>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</si>
  <si>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</si>
  <si>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</si>
  <si>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</si>
  <si>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</si>
  <si>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</si>
  <si>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</si>
  <si>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</si>
  <si>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</si>
  <si>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</si>
  <si>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</si>
  <si>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</si>
  <si>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</si>
  <si>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</si>
  <si>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</si>
  <si>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</si>
  <si>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</si>
  <si>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</si>
  <si>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</si>
  <si>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</si>
  <si>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</si>
  <si>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</si>
  <si>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</si>
  <si>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</si>
  <si>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</si>
  <si>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</si>
  <si>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</si>
  <si>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</si>
  <si>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</si>
  <si>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</si>
  <si>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</si>
  <si>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</si>
  <si>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</si>
  <si>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</si>
  <si>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</si>
  <si>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</si>
  <si>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</si>
  <si>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</si>
  <si>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</si>
  <si>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</si>
  <si>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</si>
  <si>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</si>
  <si>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</si>
  <si>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</si>
  <si>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</si>
  <si>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</si>
  <si>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</si>
  <si>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</si>
  <si>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</si>
  <si>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</si>
  <si>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</si>
  <si>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</si>
  <si>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</si>
  <si>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</si>
  <si>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</si>
  <si>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</si>
  <si>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</si>
  <si>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</si>
  <si>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67505743047</t>
  </si>
  <si>
    <t>04127528</t>
  </si>
  <si>
    <t>040314669</t>
  </si>
  <si>
    <t>CONTRADA D.O.O.</t>
  </si>
  <si>
    <t>VODNJAN</t>
  </si>
  <si>
    <t>TRG SLOGODE 2</t>
  </si>
  <si>
    <t>contrada@contrada.hr</t>
  </si>
  <si>
    <t>052/382-009</t>
  </si>
  <si>
    <t>www.contrada.hr</t>
  </si>
  <si>
    <t>Gianfranco Ghiraldo</t>
  </si>
  <si>
    <t>Guglielmo Moscarda</t>
  </si>
  <si>
    <t>gianfranco.ghiraldo@contrada.hr</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</si>
</sst>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0;\-&quot;kn&quot;#,##0"/>
    <numFmt numFmtId="165" formatCode="&quot;kn&quot;#,##0;[Red]\-&quot;kn&quot;#,##0"/>
    <numFmt numFmtId="166" formatCode="&quot;kn&quot;#,##0.00;\-&quot;kn&quot;#,##0.00"/>
    <numFmt numFmtId="167" formatCode="&quot;kn&quot;#,##0.00;[Red]\-&quot;kn&quot;#,##0.00"/>
    <numFmt numFmtId="168" formatCode="_-&quot;kn&quot;* #,##0_-;\-&quot;kn&quot;* #,##0_-;_-&quot;kn&quot;* &quot;-&quot;_-;_-@_-"/>
    <numFmt numFmtId="169" formatCode="_-* #,##0_-;\-* #,##0_-;_-* &quot;-&quot;_-;_-@_-"/>
    <numFmt numFmtId="170" formatCode="_-&quot;kn&quot;* #,##0.00_-;\-&quot;kn&quot;* #,##0.00_-;_-&quot;kn&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41A]d\.\ mmmm\ yyyy\."/>
    <numFmt numFmtId="202"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75"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75"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75"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75"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75"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90" fontId="10" fillId="0" borderId="18" xfId="0" applyNumberFormat="1" applyFont="1" applyFill="1" applyBorder="1" applyAlignment="1">
      <alignment horizontal="center" vertical="center"/>
    </xf>
    <xf numFmtId="190"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2">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67185.72</v>
      </c>
      <c r="I3" s="31">
        <f>ABS(ROUND(J3,0)-J3)+ABS(ROUND(K3,0)-K3)</f>
        <v>0</v>
      </c>
      <c r="J3" s="31">
        <f>Bilanca!I10</f>
        <v>706364</v>
      </c>
      <c r="K3" s="31">
        <f>Bilanca!J10</f>
        <v>1326461</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04127528</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040314669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67505743047</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CONTRADA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52215</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VODNJAN</v>
      </c>
      <c r="D11" s="4" t="s">
        <v>1521</v>
      </c>
      <c r="E11" s="4">
        <v>1</v>
      </c>
      <c r="F11" s="4">
        <f>Bilanca!G18</f>
        <v>10</v>
      </c>
      <c r="G11" s="4">
        <f>IF(Bilanca!H18=0,"",Bilanca!H18)</f>
      </c>
      <c r="H11" s="30">
        <f t="shared" si="0"/>
        <v>335928.60000000003</v>
      </c>
      <c r="I11" s="31">
        <f t="shared" si="1"/>
        <v>0</v>
      </c>
      <c r="J11" s="31">
        <f>Bilanca!I18</f>
        <v>706364</v>
      </c>
      <c r="K11" s="31">
        <f>Bilanca!J18</f>
        <v>1326461</v>
      </c>
    </row>
    <row r="12" spans="1:11" ht="12.75">
      <c r="A12" s="4" t="s">
        <v>2357</v>
      </c>
      <c r="B12" s="29" t="str">
        <f>TRIM(RefStr!C33)</f>
        <v>TRG SLOGODE 2</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contrada@contrada.hr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t="str">
        <f>TRIM(RefStr!C37)</f>
        <v>www.contrada.hr</v>
      </c>
      <c r="D14" s="4" t="s">
        <v>1521</v>
      </c>
      <c r="E14" s="4">
        <v>1</v>
      </c>
      <c r="F14" s="4">
        <f>Bilanca!G21</f>
        <v>13</v>
      </c>
      <c r="G14" s="4">
        <f>IF(Bilanca!H21=0,"",Bilanca!H21)</f>
      </c>
      <c r="H14" s="30">
        <f t="shared" si="0"/>
        <v>241697.43000000002</v>
      </c>
      <c r="I14" s="31">
        <f t="shared" si="1"/>
        <v>0</v>
      </c>
      <c r="J14" s="31">
        <f>Bilanca!I21</f>
        <v>490427</v>
      </c>
      <c r="K14" s="31">
        <f>Bilanca!J21</f>
        <v>684392</v>
      </c>
    </row>
    <row r="15" spans="1:11" ht="12.75">
      <c r="A15" s="4" t="s">
        <v>2360</v>
      </c>
      <c r="B15" s="29" t="str">
        <f>TEXT(RefStr!J39,"00")</f>
        <v>18</v>
      </c>
      <c r="D15" s="4" t="s">
        <v>1521</v>
      </c>
      <c r="E15" s="4">
        <v>1</v>
      </c>
      <c r="F15" s="4">
        <f>Bilanca!G22</f>
        <v>14</v>
      </c>
      <c r="G15" s="4">
        <f>IF(Bilanca!H22=0,"",Bilanca!H22)</f>
      </c>
      <c r="H15" s="30">
        <f t="shared" si="0"/>
        <v>210010.49999999997</v>
      </c>
      <c r="I15" s="31">
        <f t="shared" si="1"/>
        <v>0</v>
      </c>
      <c r="J15" s="31">
        <f>Bilanca!I22</f>
        <v>215937</v>
      </c>
      <c r="K15" s="31">
        <f>Bilanca!J22</f>
        <v>642069</v>
      </c>
    </row>
    <row r="16" spans="1:11" ht="12.75">
      <c r="A16" s="4" t="s">
        <v>2359</v>
      </c>
      <c r="B16" s="29" t="str">
        <f>TEXT(RefStr!C39,"000")</f>
        <v>502</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3821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38</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40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33</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35</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3339676.6100000003</v>
      </c>
      <c r="I38" s="31">
        <f t="shared" si="1"/>
        <v>0</v>
      </c>
      <c r="J38" s="31">
        <f>Bilanca!I45</f>
        <v>2607165</v>
      </c>
      <c r="K38" s="31">
        <f>Bilanca!J45</f>
        <v>3209494</v>
      </c>
    </row>
    <row r="39" spans="1:11" ht="12.75">
      <c r="A39" s="4" t="s">
        <v>1216</v>
      </c>
      <c r="B39" s="29" t="str">
        <f>RefStr!C68</f>
        <v>Gianfranco Ghiraldo</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052/382-009</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gianfranco.ghiraldo@contrada.hr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Guglielmo Moscarda</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3617193.9000000004</v>
      </c>
      <c r="I47" s="31">
        <f t="shared" si="3"/>
        <v>0</v>
      </c>
      <c r="J47" s="31">
        <f>Bilanca!I54</f>
        <v>2215399</v>
      </c>
      <c r="K47" s="31">
        <f>Bilanca!J54</f>
        <v>2824033</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3715642.07</v>
      </c>
      <c r="I50" s="31">
        <f t="shared" si="3"/>
        <v>0</v>
      </c>
      <c r="J50" s="31">
        <f>Bilanca!I57</f>
        <v>2158035</v>
      </c>
      <c r="K50" s="31">
        <f>Bilanca!J57</f>
        <v>2712454</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141194.52000000002</v>
      </c>
      <c r="I52" s="31">
        <f t="shared" si="3"/>
        <v>0</v>
      </c>
      <c r="J52" s="31">
        <f>Bilanca!I59</f>
        <v>57364</v>
      </c>
      <c r="K52" s="31">
        <f>Bilanca!J59</f>
        <v>109744</v>
      </c>
    </row>
    <row r="53" spans="1:11" ht="12.75">
      <c r="A53" s="4" t="s">
        <v>532</v>
      </c>
      <c r="B53" s="29" t="str">
        <f>RefStr!I56</f>
        <v>DA</v>
      </c>
      <c r="D53" s="4" t="s">
        <v>1521</v>
      </c>
      <c r="E53" s="4">
        <v>1</v>
      </c>
      <c r="F53" s="4">
        <f>Bilanca!G60</f>
        <v>52</v>
      </c>
      <c r="G53" s="4">
        <f>IF(Bilanca!H60=0,"",Bilanca!H60)</f>
      </c>
      <c r="H53" s="30">
        <f t="shared" si="2"/>
        <v>1908.4</v>
      </c>
      <c r="I53" s="31">
        <f t="shared" si="3"/>
        <v>0</v>
      </c>
      <c r="J53" s="31">
        <f>Bilanca!I60</f>
        <v>0</v>
      </c>
      <c r="K53" s="31">
        <f>Bilanca!J60</f>
        <v>1835</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1104684329.69</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732493.4400000001</v>
      </c>
      <c r="I64" s="31">
        <f t="shared" si="3"/>
        <v>0</v>
      </c>
      <c r="J64" s="31">
        <f>Bilanca!I71</f>
        <v>391766</v>
      </c>
      <c r="K64" s="31">
        <f>Bilanca!J71</f>
        <v>385461</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8050535.35</v>
      </c>
      <c r="I66" s="31">
        <f t="shared" si="3"/>
        <v>0</v>
      </c>
      <c r="J66" s="31">
        <f>Bilanca!I73</f>
        <v>3313529</v>
      </c>
      <c r="K66" s="31">
        <f>Bilanca!J73</f>
        <v>4535955</v>
      </c>
    </row>
    <row r="67" spans="1:11" ht="12.75">
      <c r="A67" s="4" t="s">
        <v>689</v>
      </c>
      <c r="B67" s="29" t="str">
        <f>RefStr!L35</f>
        <v>052/382-009</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3086759.6799999997</v>
      </c>
      <c r="I68" s="31">
        <f t="shared" si="3"/>
        <v>0</v>
      </c>
      <c r="J68" s="31">
        <f>Bilanca!I76</f>
        <v>1531358</v>
      </c>
      <c r="K68" s="31">
        <f>Bilanca!J76</f>
        <v>1537873</v>
      </c>
    </row>
    <row r="69" spans="1:11" ht="12.75">
      <c r="A69" s="4" t="s">
        <v>691</v>
      </c>
      <c r="B69" s="29">
        <f>RefStr!M46</f>
        <v>0</v>
      </c>
      <c r="D69" s="4" t="s">
        <v>1521</v>
      </c>
      <c r="E69" s="4">
        <v>1</v>
      </c>
      <c r="F69" s="4">
        <f>Bilanca!G77</f>
        <v>68</v>
      </c>
      <c r="G69" s="4">
        <f>IF(Bilanca!H77=0,"",Bilanca!H77)</f>
      </c>
      <c r="H69" s="30">
        <f t="shared" si="2"/>
        <v>2536332</v>
      </c>
      <c r="I69" s="31">
        <f t="shared" si="3"/>
        <v>0</v>
      </c>
      <c r="J69" s="31">
        <f>Bilanca!I77</f>
        <v>1243300</v>
      </c>
      <c r="K69" s="31">
        <f>Bilanca!J77</f>
        <v>1243300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165.9</v>
      </c>
      <c r="I71" s="31">
        <f t="shared" si="3"/>
        <v>0</v>
      </c>
      <c r="J71" s="31">
        <f>Bilanca!I79</f>
        <v>79</v>
      </c>
      <c r="K71" s="31">
        <f>Bilanca!J79</f>
        <v>79</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177.75</v>
      </c>
      <c r="I76" s="31">
        <f t="shared" si="3"/>
        <v>0</v>
      </c>
      <c r="J76" s="31">
        <f>Bilanca!I84</f>
        <v>79</v>
      </c>
      <c r="K76" s="31">
        <f>Bilanca!J84</f>
        <v>79</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699545.16</v>
      </c>
      <c r="I82" s="31">
        <f t="shared" si="3"/>
        <v>0</v>
      </c>
      <c r="J82" s="31">
        <f>Bilanca!I90</f>
        <v>287680</v>
      </c>
      <c r="K82" s="31">
        <f>Bilanca!J90</f>
        <v>287978</v>
      </c>
    </row>
    <row r="83" spans="4:11" ht="12.75">
      <c r="D83" s="4" t="s">
        <v>1521</v>
      </c>
      <c r="E83" s="4">
        <v>1</v>
      </c>
      <c r="F83" s="4">
        <f>Bilanca!G91</f>
        <v>82</v>
      </c>
      <c r="G83" s="4">
        <f>IF(Bilanca!H91=0,"",Bilanca!H91)</f>
      </c>
      <c r="H83" s="30">
        <f t="shared" si="2"/>
        <v>708181.52</v>
      </c>
      <c r="I83" s="31">
        <f t="shared" si="3"/>
        <v>0</v>
      </c>
      <c r="J83" s="31">
        <f>Bilanca!I91</f>
        <v>287680</v>
      </c>
      <c r="K83" s="31">
        <f>Bilanca!J91</f>
        <v>287978</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11198.039999999999</v>
      </c>
      <c r="I85" s="31">
        <f>ABS(ROUND(J85,0)-J85)+ABS(ROUND(K85,0)-K85)</f>
        <v>0</v>
      </c>
      <c r="J85" s="31">
        <f>Bilanca!I93</f>
        <v>299</v>
      </c>
      <c r="K85" s="31">
        <f>Bilanca!J93</f>
        <v>6516</v>
      </c>
    </row>
    <row r="86" spans="4:11" ht="12.75">
      <c r="D86" s="4" t="s">
        <v>1521</v>
      </c>
      <c r="E86" s="4">
        <v>1</v>
      </c>
      <c r="F86" s="4">
        <f>Bilanca!G94</f>
        <v>85</v>
      </c>
      <c r="G86" s="4">
        <f>IF(Bilanca!H94=0,"",Bilanca!H94)</f>
      </c>
      <c r="H86" s="30">
        <f>J86/100*F86+2*K86/100*F86</f>
        <v>11331.349999999999</v>
      </c>
      <c r="I86" s="31">
        <f>ABS(ROUND(J86,0)-J86)+ABS(ROUND(K86,0)-K86)</f>
        <v>0</v>
      </c>
      <c r="J86" s="31">
        <f>Bilanca!I94</f>
        <v>299</v>
      </c>
      <c r="K86" s="31">
        <f>Bilanca!J94</f>
        <v>6516</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1026769.5</v>
      </c>
      <c r="I96" s="31">
        <f t="shared" si="5"/>
        <v>0</v>
      </c>
      <c r="J96" s="31">
        <f>Bilanca!I104</f>
        <v>46760</v>
      </c>
      <c r="K96" s="31">
        <f>Bilanca!J104</f>
        <v>517025</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1091618.1</v>
      </c>
      <c r="I102" s="31">
        <f t="shared" si="5"/>
        <v>0</v>
      </c>
      <c r="J102" s="31">
        <f>Bilanca!I110</f>
        <v>46760</v>
      </c>
      <c r="K102" s="31">
        <f>Bilanca!J110</f>
        <v>517025</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6214952.6899999995</v>
      </c>
      <c r="I108" s="31">
        <f t="shared" si="5"/>
        <v>0</v>
      </c>
      <c r="J108" s="31">
        <f>Bilanca!I116</f>
        <v>1581865</v>
      </c>
      <c r="K108" s="31">
        <f>Bilanca!J116</f>
        <v>2113251</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525644.36</v>
      </c>
      <c r="I114" s="31">
        <f t="shared" si="5"/>
        <v>0</v>
      </c>
      <c r="J114" s="31">
        <f>Bilanca!I122</f>
        <v>60260</v>
      </c>
      <c r="K114" s="31">
        <f>Bilanca!J122</f>
        <v>202456</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4612582.15</v>
      </c>
      <c r="I116" s="31">
        <f t="shared" si="5"/>
        <v>0</v>
      </c>
      <c r="J116" s="31">
        <f>Bilanca!I124</f>
        <v>1146281</v>
      </c>
      <c r="K116" s="31">
        <f>Bilanca!J124</f>
        <v>1432330</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733904.73</v>
      </c>
      <c r="I118" s="31">
        <f t="shared" si="5"/>
        <v>0</v>
      </c>
      <c r="J118" s="31">
        <f>Bilanca!I126</f>
        <v>172245</v>
      </c>
      <c r="K118" s="31">
        <f>Bilanca!J126</f>
        <v>227512</v>
      </c>
    </row>
    <row r="119" spans="4:11" ht="12.75">
      <c r="D119" s="4" t="s">
        <v>1521</v>
      </c>
      <c r="E119" s="4">
        <v>1</v>
      </c>
      <c r="F119" s="4">
        <f>Bilanca!G127</f>
        <v>118</v>
      </c>
      <c r="G119" s="4">
        <f>IF(Bilanca!H127=0,"",Bilanca!H127)</f>
      </c>
      <c r="H119" s="30">
        <f t="shared" si="4"/>
        <v>531420.08</v>
      </c>
      <c r="I119" s="31">
        <f t="shared" si="5"/>
        <v>0</v>
      </c>
      <c r="J119" s="31">
        <f>Bilanca!I127</f>
        <v>161084</v>
      </c>
      <c r="K119" s="31">
        <f>Bilanca!J127</f>
        <v>144636</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308101.09</v>
      </c>
      <c r="I122" s="31">
        <f t="shared" si="5"/>
        <v>0</v>
      </c>
      <c r="J122" s="31">
        <f>Bilanca!I130</f>
        <v>41995</v>
      </c>
      <c r="K122" s="31">
        <f>Bilanca!J130</f>
        <v>106317</v>
      </c>
    </row>
    <row r="123" spans="4:11" ht="12.75">
      <c r="D123" s="4" t="s">
        <v>1521</v>
      </c>
      <c r="E123" s="4">
        <v>1</v>
      </c>
      <c r="F123" s="4">
        <f>Bilanca!G131</f>
        <v>122</v>
      </c>
      <c r="G123" s="4">
        <f>IF(Bilanca!H131=0,"",Bilanca!H131)</f>
      </c>
      <c r="H123" s="30">
        <f t="shared" si="4"/>
        <v>1084772.76</v>
      </c>
      <c r="I123" s="31">
        <f t="shared" si="5"/>
        <v>0</v>
      </c>
      <c r="J123" s="31">
        <f>Bilanca!I131</f>
        <v>153546</v>
      </c>
      <c r="K123" s="31">
        <f>Bilanca!J131</f>
        <v>367806</v>
      </c>
    </row>
    <row r="124" spans="4:11" ht="12.75">
      <c r="D124" s="4" t="s">
        <v>1521</v>
      </c>
      <c r="E124" s="4">
        <v>1</v>
      </c>
      <c r="F124" s="4">
        <f>Bilanca!G132</f>
        <v>123</v>
      </c>
      <c r="G124" s="4">
        <f>IF(Bilanca!H132=0,"",Bilanca!H132)</f>
      </c>
      <c r="H124" s="30">
        <f t="shared" si="4"/>
        <v>15234089.97</v>
      </c>
      <c r="I124" s="31">
        <f t="shared" si="5"/>
        <v>0</v>
      </c>
      <c r="J124" s="31">
        <f>Bilanca!I132</f>
        <v>3313529</v>
      </c>
      <c r="K124" s="31">
        <f>Bilanca!J132</f>
        <v>4535955</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28194176.25</v>
      </c>
      <c r="I126" s="4">
        <f t="shared" si="5"/>
        <v>0</v>
      </c>
      <c r="J126" s="31">
        <f>RDG!I8</f>
        <v>6829349</v>
      </c>
      <c r="K126" s="31">
        <f>RDG!J8</f>
        <v>7862996</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28645283.07</v>
      </c>
      <c r="I128" s="4">
        <f aca="true" t="shared" si="7" ref="I128:I190">ABS(ROUND(J128,0)-J128)+ABS(ROUND(K128,0)-K128)</f>
        <v>0</v>
      </c>
      <c r="J128" s="31">
        <f>RDG!I10</f>
        <v>6829349</v>
      </c>
      <c r="K128" s="31">
        <f>RDG!J10</f>
        <v>7862996</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0</v>
      </c>
      <c r="I131" s="4">
        <f t="shared" si="7"/>
        <v>0</v>
      </c>
      <c r="J131" s="31">
        <f>RDG!I13</f>
        <v>0</v>
      </c>
      <c r="K131" s="31">
        <f>RDG!J13</f>
        <v>0</v>
      </c>
    </row>
    <row r="132" spans="4:11" ht="12.75">
      <c r="D132" s="4" t="s">
        <v>541</v>
      </c>
      <c r="E132" s="4">
        <v>2</v>
      </c>
      <c r="F132" s="4">
        <f>RDG!G14</f>
        <v>131</v>
      </c>
      <c r="G132" s="4">
        <f>IF(RDG!H14=0,"",RDG!H14)</f>
      </c>
      <c r="H132" s="30">
        <f t="shared" si="6"/>
        <v>29123254.52</v>
      </c>
      <c r="I132" s="4">
        <f t="shared" si="7"/>
        <v>0</v>
      </c>
      <c r="J132" s="31">
        <f>RDG!I14</f>
        <v>6589852</v>
      </c>
      <c r="K132" s="31">
        <f>RDG!J14</f>
        <v>7820820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12795416.620000001</v>
      </c>
      <c r="I134" s="4">
        <f t="shared" si="7"/>
        <v>0</v>
      </c>
      <c r="J134" s="31">
        <f>RDG!I16</f>
        <v>2963706</v>
      </c>
      <c r="K134" s="31">
        <f>RDG!J16</f>
        <v>3328454</v>
      </c>
    </row>
    <row r="135" spans="4:11" ht="12.75">
      <c r="D135" s="4" t="s">
        <v>541</v>
      </c>
      <c r="E135" s="4">
        <v>2</v>
      </c>
      <c r="F135" s="4">
        <f>RDG!G17</f>
        <v>134</v>
      </c>
      <c r="G135" s="4">
        <f>IF(RDG!H17=0,"",RDG!H17)</f>
      </c>
      <c r="H135" s="30">
        <f t="shared" si="6"/>
        <v>696659.3</v>
      </c>
      <c r="I135" s="4">
        <f t="shared" si="7"/>
        <v>0</v>
      </c>
      <c r="J135" s="31">
        <f>RDG!I17</f>
        <v>106609</v>
      </c>
      <c r="K135" s="31">
        <f>RDG!J17</f>
        <v>206643</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12376977.84</v>
      </c>
      <c r="I137" s="4">
        <f t="shared" si="7"/>
        <v>0</v>
      </c>
      <c r="J137" s="31">
        <f>RDG!I19</f>
        <v>2857097</v>
      </c>
      <c r="K137" s="31">
        <f>RDG!J19</f>
        <v>3121811</v>
      </c>
    </row>
    <row r="138" spans="4:11" ht="12.75">
      <c r="D138" s="4" t="s">
        <v>541</v>
      </c>
      <c r="E138" s="4">
        <v>2</v>
      </c>
      <c r="F138" s="4">
        <f>RDG!G20</f>
        <v>137</v>
      </c>
      <c r="G138" s="4">
        <f>IF(RDG!H20=0,"",RDG!H20)</f>
      </c>
      <c r="H138" s="30">
        <f t="shared" si="6"/>
        <v>14132441.870000001</v>
      </c>
      <c r="I138" s="4">
        <f t="shared" si="7"/>
        <v>0</v>
      </c>
      <c r="J138" s="31">
        <f>RDG!I20</f>
        <v>2945479</v>
      </c>
      <c r="K138" s="31">
        <f>RDG!J20</f>
        <v>3685086</v>
      </c>
    </row>
    <row r="139" spans="4:11" ht="12.75">
      <c r="D139" s="4" t="s">
        <v>541</v>
      </c>
      <c r="E139" s="4">
        <v>2</v>
      </c>
      <c r="F139" s="4">
        <f>RDG!G21</f>
        <v>138</v>
      </c>
      <c r="G139" s="4">
        <f>IF(RDG!H21=0,"",RDG!H21)</f>
      </c>
      <c r="H139" s="30">
        <f t="shared" si="6"/>
        <v>9189411.72</v>
      </c>
      <c r="I139" s="4">
        <f t="shared" si="7"/>
        <v>0</v>
      </c>
      <c r="J139" s="31">
        <f>RDG!I21</f>
        <v>1912520</v>
      </c>
      <c r="K139" s="31">
        <f>RDG!J21</f>
        <v>2373237</v>
      </c>
    </row>
    <row r="140" spans="4:11" ht="12.75">
      <c r="D140" s="4" t="s">
        <v>541</v>
      </c>
      <c r="E140" s="4">
        <v>2</v>
      </c>
      <c r="F140" s="4">
        <f>RDG!G22</f>
        <v>139</v>
      </c>
      <c r="G140" s="4">
        <f>IF(RDG!H22=0,"",RDG!H22)</f>
      </c>
      <c r="H140" s="30">
        <f t="shared" si="6"/>
        <v>2933137.69</v>
      </c>
      <c r="I140" s="4">
        <f t="shared" si="7"/>
        <v>0</v>
      </c>
      <c r="J140" s="31">
        <f>RDG!I22</f>
        <v>530317</v>
      </c>
      <c r="K140" s="31">
        <f>RDG!J22</f>
        <v>789927</v>
      </c>
    </row>
    <row r="141" spans="4:11" ht="12.75">
      <c r="D141" s="4" t="s">
        <v>541</v>
      </c>
      <c r="E141" s="4">
        <v>2</v>
      </c>
      <c r="F141" s="4">
        <f>RDG!G23</f>
        <v>140</v>
      </c>
      <c r="G141" s="4">
        <f>IF(RDG!H23=0,"",RDG!H23)</f>
      </c>
      <c r="H141" s="30">
        <f t="shared" si="6"/>
        <v>2165080.4000000004</v>
      </c>
      <c r="I141" s="4">
        <f t="shared" si="7"/>
        <v>0</v>
      </c>
      <c r="J141" s="31">
        <f>RDG!I23</f>
        <v>502642</v>
      </c>
      <c r="K141" s="31">
        <f>RDG!J23</f>
        <v>521922</v>
      </c>
    </row>
    <row r="142" spans="4:11" ht="12.75">
      <c r="D142" s="4" t="s">
        <v>541</v>
      </c>
      <c r="E142" s="4">
        <v>2</v>
      </c>
      <c r="F142" s="4">
        <f>RDG!G24</f>
        <v>141</v>
      </c>
      <c r="G142" s="4">
        <f>IF(RDG!H24=0,"",RDG!H24)</f>
      </c>
      <c r="H142" s="30">
        <f t="shared" si="6"/>
        <v>2080337.97</v>
      </c>
      <c r="I142" s="4">
        <f t="shared" si="7"/>
        <v>0</v>
      </c>
      <c r="J142" s="31">
        <f>RDG!I24</f>
        <v>438775</v>
      </c>
      <c r="K142" s="31">
        <f>RDG!J24</f>
        <v>518321</v>
      </c>
    </row>
    <row r="143" spans="4:11" ht="12.75">
      <c r="D143" s="4" t="s">
        <v>541</v>
      </c>
      <c r="E143" s="4">
        <v>2</v>
      </c>
      <c r="F143" s="4">
        <f>RDG!G25</f>
        <v>142</v>
      </c>
      <c r="G143" s="4">
        <f>IF(RDG!H25=0,"",RDG!H25)</f>
      </c>
      <c r="H143" s="30">
        <f t="shared" si="6"/>
        <v>1164130.2000000002</v>
      </c>
      <c r="I143" s="4">
        <f t="shared" si="7"/>
        <v>0</v>
      </c>
      <c r="J143" s="31">
        <f>RDG!I25</f>
        <v>241892</v>
      </c>
      <c r="K143" s="31">
        <f>RDG!J25</f>
        <v>288959</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490200.48</v>
      </c>
      <c r="I155" s="4">
        <f t="shared" si="7"/>
        <v>0</v>
      </c>
      <c r="J155" s="31">
        <f>RDG!I37</f>
        <v>38538</v>
      </c>
      <c r="K155" s="31">
        <f>RDG!J37</f>
        <v>139887</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6518.89</v>
      </c>
      <c r="I162" s="4">
        <f t="shared" si="7"/>
        <v>0</v>
      </c>
      <c r="J162" s="31">
        <f>RDG!I44</f>
        <v>3739</v>
      </c>
      <c r="K162" s="31">
        <f>RDG!J44</f>
        <v>155</v>
      </c>
    </row>
    <row r="163" spans="4:11" ht="12.75">
      <c r="D163" s="4" t="s">
        <v>541</v>
      </c>
      <c r="E163" s="4">
        <v>2</v>
      </c>
      <c r="F163" s="4">
        <f>RDG!G45</f>
        <v>162</v>
      </c>
      <c r="G163" s="4">
        <f>IF(RDG!H45=0,"",RDG!H45)</f>
      </c>
      <c r="H163" s="30">
        <f t="shared" si="6"/>
        <v>4861.620000000001</v>
      </c>
      <c r="I163" s="4">
        <f t="shared" si="7"/>
        <v>0</v>
      </c>
      <c r="J163" s="31">
        <f>RDG!I45</f>
        <v>1429</v>
      </c>
      <c r="K163" s="31">
        <f>RDG!J45</f>
        <v>786</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510469.68</v>
      </c>
      <c r="I165" s="4">
        <f t="shared" si="7"/>
        <v>0</v>
      </c>
      <c r="J165" s="31">
        <f>RDG!I47</f>
        <v>33370</v>
      </c>
      <c r="K165" s="31">
        <f>RDG!J47</f>
        <v>138946</v>
      </c>
    </row>
    <row r="166" spans="4:11" ht="12.75">
      <c r="D166" s="4" t="s">
        <v>541</v>
      </c>
      <c r="E166" s="4">
        <v>2</v>
      </c>
      <c r="F166" s="4">
        <f>RDG!G48</f>
        <v>165</v>
      </c>
      <c r="G166" s="4">
        <f>IF(RDG!H48=0,"",RDG!H48)</f>
      </c>
      <c r="H166" s="30">
        <f t="shared" si="6"/>
        <v>897453.15</v>
      </c>
      <c r="I166" s="4">
        <f t="shared" si="7"/>
        <v>0</v>
      </c>
      <c r="J166" s="31">
        <f>RDG!I48</f>
        <v>236803</v>
      </c>
      <c r="K166" s="31">
        <f>RDG!J48</f>
        <v>153554</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86602.31999999999</v>
      </c>
      <c r="I169" s="4">
        <f t="shared" si="7"/>
        <v>0</v>
      </c>
      <c r="J169" s="31">
        <f>RDG!I51</f>
        <v>7663</v>
      </c>
      <c r="K169" s="31">
        <f>RDG!J51</f>
        <v>21943</v>
      </c>
    </row>
    <row r="170" spans="4:11" ht="12.75">
      <c r="D170" s="4" t="s">
        <v>541</v>
      </c>
      <c r="E170" s="4">
        <v>2</v>
      </c>
      <c r="F170" s="4">
        <f>RDG!G52</f>
        <v>169</v>
      </c>
      <c r="G170" s="4">
        <f>IF(RDG!H52=0,"",RDG!H52)</f>
      </c>
      <c r="H170" s="30">
        <f t="shared" si="6"/>
        <v>2193.62</v>
      </c>
      <c r="I170" s="4">
        <f t="shared" si="7"/>
        <v>0</v>
      </c>
      <c r="J170" s="31">
        <f>RDG!I52</f>
        <v>62</v>
      </c>
      <c r="K170" s="31">
        <f>RDG!J52</f>
        <v>618</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831499.47</v>
      </c>
      <c r="I172" s="4">
        <f t="shared" si="7"/>
        <v>0</v>
      </c>
      <c r="J172" s="31">
        <f>RDG!I54</f>
        <v>228913</v>
      </c>
      <c r="K172" s="31">
        <f>RDG!J54</f>
        <v>128672</v>
      </c>
    </row>
    <row r="173" spans="4:11" ht="12.75">
      <c r="D173" s="4" t="s">
        <v>541</v>
      </c>
      <c r="E173" s="4">
        <v>2</v>
      </c>
      <c r="F173" s="4">
        <f>RDG!G55</f>
        <v>172</v>
      </c>
      <c r="G173" s="4">
        <f>IF(RDG!H55=0,"",RDG!H55)</f>
      </c>
      <c r="H173" s="30">
        <f t="shared" si="6"/>
        <v>8268.04</v>
      </c>
      <c r="I173" s="4">
        <f t="shared" si="7"/>
        <v>0</v>
      </c>
      <c r="J173" s="31">
        <f>RDG!I55</f>
        <v>165</v>
      </c>
      <c r="K173" s="31">
        <f>RDG!J55</f>
        <v>2321</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40486365.81</v>
      </c>
      <c r="I178" s="4">
        <f t="shared" si="7"/>
        <v>0</v>
      </c>
      <c r="J178" s="31">
        <f>RDG!I60</f>
        <v>6867887</v>
      </c>
      <c r="K178" s="31">
        <f>RDG!J60</f>
        <v>8002883</v>
      </c>
    </row>
    <row r="179" spans="4:11" ht="12.75">
      <c r="D179" s="4" t="s">
        <v>541</v>
      </c>
      <c r="E179" s="4">
        <v>2</v>
      </c>
      <c r="F179" s="4">
        <f>RDG!G61</f>
        <v>178</v>
      </c>
      <c r="G179" s="4">
        <f>IF(RDG!H61=0,"",RDG!H61)</f>
      </c>
      <c r="H179" s="30">
        <f t="shared" si="6"/>
        <v>40540217.34</v>
      </c>
      <c r="I179" s="4">
        <f t="shared" si="7"/>
        <v>0</v>
      </c>
      <c r="J179" s="31">
        <f>RDG!I61</f>
        <v>6826655</v>
      </c>
      <c r="K179" s="31">
        <f>RDG!J61</f>
        <v>7974374</v>
      </c>
    </row>
    <row r="180" spans="4:11" ht="12.75">
      <c r="D180" s="4" t="s">
        <v>541</v>
      </c>
      <c r="E180" s="4">
        <v>2</v>
      </c>
      <c r="F180" s="4">
        <f>RDG!G62</f>
        <v>179</v>
      </c>
      <c r="G180" s="4">
        <f>IF(RDG!H62=0,"",RDG!H62)</f>
      </c>
      <c r="H180" s="30">
        <f t="shared" si="6"/>
        <v>175867.5</v>
      </c>
      <c r="I180" s="4">
        <f t="shared" si="7"/>
        <v>0</v>
      </c>
      <c r="J180" s="31">
        <f>RDG!I62</f>
        <v>41232</v>
      </c>
      <c r="K180" s="31">
        <f>RDG!J62</f>
        <v>28509</v>
      </c>
    </row>
    <row r="181" spans="4:11" ht="12.75">
      <c r="D181" s="4" t="s">
        <v>541</v>
      </c>
      <c r="E181" s="4">
        <v>2</v>
      </c>
      <c r="F181" s="4">
        <f>RDG!G63</f>
        <v>180</v>
      </c>
      <c r="G181" s="4">
        <f>IF(RDG!H63=0,"",RDG!H63)</f>
      </c>
      <c r="H181" s="30">
        <f t="shared" si="6"/>
        <v>176850</v>
      </c>
      <c r="I181" s="4">
        <f t="shared" si="7"/>
        <v>0</v>
      </c>
      <c r="J181" s="31">
        <f>RDG!I63</f>
        <v>41232</v>
      </c>
      <c r="K181" s="31">
        <f>RDG!J63</f>
        <v>28509</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154556.22</v>
      </c>
      <c r="I183" s="4">
        <f t="shared" si="7"/>
        <v>0</v>
      </c>
      <c r="J183" s="31">
        <f>RDG!I65</f>
        <v>40933</v>
      </c>
      <c r="K183" s="31">
        <f>RDG!J65</f>
        <v>21994</v>
      </c>
    </row>
    <row r="184" spans="4:11" ht="12.75">
      <c r="D184" s="4" t="s">
        <v>541</v>
      </c>
      <c r="E184" s="4">
        <v>2</v>
      </c>
      <c r="F184" s="4">
        <f>RDG!G66</f>
        <v>183</v>
      </c>
      <c r="G184" s="4">
        <f>IF(RDG!H66=0,"",RDG!H66)</f>
      </c>
      <c r="H184" s="30">
        <f t="shared" si="6"/>
        <v>24392.07</v>
      </c>
      <c r="I184" s="4">
        <f t="shared" si="7"/>
        <v>0</v>
      </c>
      <c r="J184" s="31">
        <f>RDG!I66</f>
        <v>299</v>
      </c>
      <c r="K184" s="31">
        <f>RDG!J66</f>
        <v>6515</v>
      </c>
    </row>
    <row r="185" spans="4:11" ht="12.75">
      <c r="D185" s="4" t="s">
        <v>541</v>
      </c>
      <c r="E185" s="4">
        <v>2</v>
      </c>
      <c r="F185" s="4">
        <f>RDG!G67</f>
        <v>184</v>
      </c>
      <c r="G185" s="4">
        <f>IF(RDG!H67=0,"",RDG!H67)</f>
      </c>
      <c r="H185" s="30">
        <f t="shared" si="6"/>
        <v>24525.36</v>
      </c>
      <c r="I185" s="4">
        <f t="shared" si="7"/>
        <v>0</v>
      </c>
      <c r="J185" s="31">
        <f>RDG!I67</f>
        <v>299</v>
      </c>
      <c r="K185" s="31">
        <f>RDG!J67</f>
        <v>6515</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2431827</v>
      </c>
      <c r="I226" s="4">
        <f t="shared" si="11"/>
        <v>0</v>
      </c>
      <c r="J226" s="31">
        <f>Dodatni!I17</f>
        <v>46760</v>
      </c>
      <c r="K226" s="31">
        <f>Dodatni!J17</f>
        <v>517026</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52328391.120000005</v>
      </c>
      <c r="I233" s="4">
        <f t="shared" si="11"/>
        <v>0</v>
      </c>
      <c r="J233" s="31">
        <f>Dodatni!I26</f>
        <v>6829349</v>
      </c>
      <c r="K233" s="31">
        <f>Dodatni!J26</f>
        <v>7862996</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54583925.22</v>
      </c>
      <c r="I243" s="4">
        <f t="shared" si="11"/>
        <v>0</v>
      </c>
      <c r="J243" s="31">
        <f>Dodatni!I37</f>
        <v>6829349</v>
      </c>
      <c r="K243" s="31">
        <f>Dodatni!J37</f>
        <v>7862996</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757994.88</v>
      </c>
      <c r="I247" s="4">
        <f t="shared" si="11"/>
        <v>0</v>
      </c>
      <c r="J247" s="31">
        <f>Dodatni!I43</f>
        <v>66788</v>
      </c>
      <c r="K247" s="31">
        <f>Dodatni!J43</f>
        <v>120670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2358246.24</v>
      </c>
      <c r="I253" s="4">
        <f t="shared" si="11"/>
        <v>0</v>
      </c>
      <c r="J253" s="31">
        <f>Dodatni!I50</f>
        <v>306340</v>
      </c>
      <c r="K253" s="31">
        <f>Dodatni!J50</f>
        <v>314736</v>
      </c>
    </row>
    <row r="254" spans="4:11" ht="12.75">
      <c r="D254" s="4" t="s">
        <v>1522</v>
      </c>
      <c r="E254" s="4">
        <v>3</v>
      </c>
      <c r="F254" s="4">
        <f>Dodatni!H51</f>
        <v>253</v>
      </c>
      <c r="H254" s="30">
        <f t="shared" si="10"/>
        <v>10128948.61</v>
      </c>
      <c r="I254" s="4">
        <f t="shared" si="11"/>
        <v>0</v>
      </c>
      <c r="J254" s="31">
        <f>Dodatni!I51</f>
        <v>1062757</v>
      </c>
      <c r="K254" s="31">
        <f>Dodatni!J51</f>
        <v>1470390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1908309.81</v>
      </c>
      <c r="I258" s="4">
        <f t="shared" si="11"/>
        <v>0</v>
      </c>
      <c r="J258" s="31">
        <f>Dodatni!I55</f>
        <v>327233</v>
      </c>
      <c r="K258" s="31">
        <f>Dodatni!J55</f>
        <v>207650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867328.8400000001</v>
      </c>
      <c r="I260" s="4">
        <f t="shared" si="11"/>
        <v>0</v>
      </c>
      <c r="J260" s="31">
        <f>Dodatni!I57</f>
        <v>99646</v>
      </c>
      <c r="K260" s="31">
        <f>Dodatni!J57</f>
        <v>117615</v>
      </c>
    </row>
    <row r="261" spans="4:11" ht="12.75">
      <c r="D261" s="4" t="s">
        <v>1522</v>
      </c>
      <c r="E261" s="4">
        <v>3</v>
      </c>
      <c r="F261" s="4">
        <f>Dodatni!H58</f>
        <v>260</v>
      </c>
      <c r="H261" s="30">
        <f t="shared" si="10"/>
        <v>385034</v>
      </c>
      <c r="I261" s="4">
        <f t="shared" si="11"/>
        <v>0</v>
      </c>
      <c r="J261" s="31">
        <f>Dodatni!I58</f>
        <v>33040</v>
      </c>
      <c r="K261" s="31">
        <f>Dodatni!J58</f>
        <v>57525</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887357.3200000001</v>
      </c>
      <c r="I263" s="4">
        <f t="shared" si="11"/>
        <v>0</v>
      </c>
      <c r="J263" s="31">
        <f>Dodatni!I60</f>
        <v>103502</v>
      </c>
      <c r="K263" s="31">
        <f>Dodatni!J60</f>
        <v>117592</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7603.2</v>
      </c>
      <c r="I265" s="4">
        <f t="shared" si="11"/>
        <v>0</v>
      </c>
      <c r="J265" s="31">
        <f>Dodatni!I62</f>
        <v>2880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1665831.69</v>
      </c>
      <c r="I268" s="4">
        <f t="shared" si="11"/>
        <v>0</v>
      </c>
      <c r="J268" s="31">
        <f>Dodatni!I65</f>
        <v>123703</v>
      </c>
      <c r="K268" s="31">
        <f>Dodatni!J65</f>
        <v>250102</v>
      </c>
    </row>
    <row r="269" spans="4:11" ht="12.75">
      <c r="D269" s="4" t="s">
        <v>1522</v>
      </c>
      <c r="E269" s="4">
        <v>3</v>
      </c>
      <c r="F269" s="4">
        <f>Dodatni!H66</f>
        <v>268</v>
      </c>
      <c r="H269" s="30">
        <f t="shared" si="10"/>
        <v>38396.36</v>
      </c>
      <c r="I269" s="4">
        <f t="shared" si="11"/>
        <v>0</v>
      </c>
      <c r="J269" s="31">
        <f>Dodatni!I66</f>
        <v>14327</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11094.26</v>
      </c>
      <c r="I275" s="4">
        <f aca="true" t="shared" si="13" ref="I275:I284">ABS(ROUND(J275,0)-J275)+ABS(ROUND(K275,0)-K275)</f>
        <v>0</v>
      </c>
      <c r="J275" s="31">
        <f>Dodatni!I73</f>
        <v>3739</v>
      </c>
      <c r="K275" s="31">
        <f>Dodatni!J73</f>
        <v>155</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141594.09</v>
      </c>
      <c r="I278" s="4">
        <f t="shared" si="13"/>
        <v>0</v>
      </c>
      <c r="J278" s="31">
        <f>Dodatni!I76</f>
        <v>7231</v>
      </c>
      <c r="K278" s="31">
        <f>Dodatni!J76</f>
        <v>21943</v>
      </c>
    </row>
    <row r="279" spans="4:11" ht="12.75">
      <c r="D279" s="4" t="s">
        <v>1522</v>
      </c>
      <c r="E279" s="4">
        <v>3</v>
      </c>
      <c r="F279" s="4">
        <f>Dodatni!H78</f>
        <v>278</v>
      </c>
      <c r="H279" s="30">
        <f t="shared" si="12"/>
        <v>6525051.9799999995</v>
      </c>
      <c r="I279" s="4">
        <f t="shared" si="13"/>
        <v>0</v>
      </c>
      <c r="J279" s="31">
        <f>Dodatni!I78</f>
        <v>77725</v>
      </c>
      <c r="K279" s="31">
        <f>Dodatni!J78</f>
        <v>1134708</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2360604.4</v>
      </c>
      <c r="I281" s="4">
        <f t="shared" si="13"/>
        <v>0</v>
      </c>
      <c r="J281" s="31">
        <f>Dodatni!I80</f>
        <v>72725</v>
      </c>
      <c r="K281" s="31">
        <f>Dodatni!J80</f>
        <v>385174</v>
      </c>
    </row>
    <row r="282" spans="4:11" ht="12.75">
      <c r="D282" s="4" t="s">
        <v>1522</v>
      </c>
      <c r="E282" s="4">
        <v>3</v>
      </c>
      <c r="F282" s="4">
        <f>Dodatni!H81</f>
        <v>281</v>
      </c>
      <c r="H282" s="30">
        <f t="shared" si="12"/>
        <v>4191530.88</v>
      </c>
      <c r="I282" s="4">
        <f t="shared" si="13"/>
        <v>0</v>
      </c>
      <c r="J282" s="31">
        <f>Dodatni!I81</f>
        <v>0</v>
      </c>
      <c r="K282" s="31">
        <f>Dodatni!J81</f>
        <v>745824</v>
      </c>
    </row>
    <row r="283" spans="4:11" ht="12.75">
      <c r="D283" s="4" t="s">
        <v>1522</v>
      </c>
      <c r="E283" s="4">
        <v>3</v>
      </c>
      <c r="F283" s="4">
        <f>Dodatni!H82</f>
        <v>282</v>
      </c>
      <c r="H283" s="30">
        <f t="shared" si="12"/>
        <v>35024.4</v>
      </c>
      <c r="I283" s="4">
        <f t="shared" si="13"/>
        <v>0</v>
      </c>
      <c r="J283" s="31">
        <f>Dodatni!I82</f>
        <v>5000</v>
      </c>
      <c r="K283" s="31">
        <f>Dodatni!J82</f>
        <v>3710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60"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72"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CONTRADA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52215</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67505743047</v>
      </c>
      <c r="V4" s="211" t="s">
        <v>2356</v>
      </c>
      <c r="W4" s="232" t="str">
        <f>RefStr!F31</f>
        <v>VODNJAN</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04127528</v>
      </c>
      <c r="V5" s="211" t="s">
        <v>2357</v>
      </c>
      <c r="W5" s="232" t="str">
        <f>RefStr!C33</f>
        <v>TRG SLOGODE 2</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040314669</v>
      </c>
      <c r="V6" s="211" t="s">
        <v>2568</v>
      </c>
      <c r="W6" s="232" t="str">
        <f>RefStr!L35</f>
        <v>052/382-009</v>
      </c>
      <c r="X6" s="211" t="s">
        <v>2514</v>
      </c>
      <c r="Y6" s="232" t="str">
        <f>RefStr!C68</f>
        <v>Gianfranco Ghiraldo</v>
      </c>
      <c r="Z6" s="211" t="s">
        <v>1415</v>
      </c>
      <c r="AA6" s="232">
        <f>RefStr!C46</f>
        <v>0</v>
      </c>
    </row>
    <row r="7" spans="1:27" ht="13.5" customHeight="1">
      <c r="A7" s="499"/>
      <c r="B7" s="500"/>
      <c r="C7" s="500"/>
      <c r="D7" s="500"/>
      <c r="E7" s="500"/>
      <c r="F7" s="500"/>
      <c r="G7" s="500"/>
      <c r="H7" s="500"/>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CONTRADA@CONTRADA.HR</v>
      </c>
      <c r="X7" s="211" t="s">
        <v>2515</v>
      </c>
      <c r="Y7" s="232" t="str">
        <f>RefStr!C70</f>
        <v>052/382-009</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Javno trgovačko društvo</v>
      </c>
      <c r="V8" s="211" t="s">
        <v>2574</v>
      </c>
      <c r="W8" s="232" t="str">
        <f>RefStr!C42</f>
        <v>3821</v>
      </c>
      <c r="X8" s="211" t="s">
        <v>2516</v>
      </c>
      <c r="Y8" s="232" t="str">
        <f>TRIM(UPPER(RefStr!C72))</f>
        <v>GIANFRANCO.GHIRALDO@CONTRADA.HR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33</v>
      </c>
      <c r="Q9" s="231">
        <f>RefStr!F58</f>
        <v>35</v>
      </c>
      <c r="R9" s="211" t="s">
        <v>1860</v>
      </c>
      <c r="S9" s="232">
        <f>IF(RefStr!F4&lt;&gt;"",RefStr!F4,0)</f>
        <v>43830</v>
      </c>
      <c r="T9" s="211" t="s">
        <v>1821</v>
      </c>
      <c r="U9" s="232">
        <f>RefStr!C39</f>
        <v>502</v>
      </c>
      <c r="V9" s="211" t="s">
        <v>1414</v>
      </c>
      <c r="W9" s="232" t="str">
        <f>RefStr!D42</f>
        <v>Obrada i zbrinjavanje neopasnog otpada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38</v>
      </c>
      <c r="Q10" s="233">
        <f>RefStr!F56</f>
        <v>40</v>
      </c>
      <c r="R10" s="213" t="s">
        <v>1863</v>
      </c>
      <c r="S10" s="233">
        <f>RefStr!C23</f>
        <v>1</v>
      </c>
      <c r="T10" s="213" t="s">
        <v>2573</v>
      </c>
      <c r="U10" s="233" t="str">
        <f>RefStr!D39</f>
        <v>Vodnjan</v>
      </c>
      <c r="V10" s="240"/>
      <c r="W10" s="241"/>
      <c r="X10" s="242" t="s">
        <v>1974</v>
      </c>
      <c r="Y10" s="243">
        <f>RefStr!F12</f>
        <v>2019</v>
      </c>
      <c r="Z10" s="213" t="s">
        <v>209</v>
      </c>
      <c r="AA10" s="233" t="str">
        <f>RefStr!A75</f>
        <v>Guglielmo Moscarda</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Provjera</v>
      </c>
      <c r="C93" s="487" t="s">
        <v>2536</v>
      </c>
      <c r="D93" s="487"/>
      <c r="E93" s="487"/>
      <c r="F93" s="487"/>
      <c r="G93" s="487"/>
      <c r="H93" s="487"/>
      <c r="I93" s="487"/>
      <c r="J93" s="487"/>
      <c r="L93" s="195">
        <v>0</v>
      </c>
      <c r="M93" s="195">
        <f>MAX(N93:O93)</f>
        <v>1</v>
      </c>
      <c r="N93" s="195">
        <f>IF(Dodatni!I43&gt;SUM(RDG!I12:I13),1,0)</f>
        <v>1</v>
      </c>
      <c r="O93" s="195">
        <f>IF(Dodatni!J43&gt;SUM(RDG!J12:J13),1,0)</f>
        <v>1</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87" t="s">
        <v>758</v>
      </c>
      <c r="D98" s="487"/>
      <c r="E98" s="487"/>
      <c r="F98" s="487"/>
      <c r="G98" s="487"/>
      <c r="H98" s="487"/>
      <c r="I98" s="487"/>
      <c r="J98" s="487"/>
      <c r="L98" s="195">
        <v>0</v>
      </c>
      <c r="M98" s="195">
        <f t="shared" si="16"/>
        <v>1</v>
      </c>
      <c r="N98" s="195">
        <f>IF(AND($O$8&lt;&gt;"DA",P4&gt;0,Dodatni!I62=0),1,0)</f>
        <v>0</v>
      </c>
      <c r="O98" s="195">
        <f>IF(AND($O$8&lt;&gt;"DA",Q4&gt;0,Dodatni!J62=0),1,0)</f>
        <v>1</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F:\ZAVRŠNI 2019.G\[GFI-2019..xls]RDG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8"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16" activePane="bottomLeft" state="frozen"/>
      <selection pane="topLeft" activeCell="A1" sqref="A1"/>
      <selection pane="bottomLeft" activeCell="C50" sqref="C50"/>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365" t="s">
        <v>1057</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1</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2019</v>
      </c>
      <c r="G12" s="349"/>
      <c r="H12" s="341" t="s">
        <v>2105</v>
      </c>
      <c r="I12" s="342"/>
      <c r="J12" s="342"/>
      <c r="K12" s="156"/>
      <c r="L12" s="156"/>
      <c r="M12" s="156"/>
      <c r="N12" s="156"/>
      <c r="P12" s="54" t="s">
        <v>2353</v>
      </c>
      <c r="Q12" s="55">
        <f>INT(VALUE(H27))/10</f>
        <v>412752.8</v>
      </c>
    </row>
    <row r="13" spans="4:17" ht="9.75" customHeight="1">
      <c r="D13" s="156"/>
      <c r="E13" s="162"/>
      <c r="H13" s="27"/>
      <c r="I13" s="163"/>
      <c r="J13" s="163"/>
      <c r="K13" s="156"/>
      <c r="L13" s="156"/>
      <c r="M13" s="156"/>
      <c r="N13" s="156"/>
      <c r="P13" s="54" t="s">
        <v>2353</v>
      </c>
      <c r="Q13" s="55">
        <f>INT(VALUE(M27))/50</f>
        <v>806293.38</v>
      </c>
    </row>
    <row r="14" spans="1:17" ht="15">
      <c r="A14" s="340" t="s">
        <v>2714</v>
      </c>
      <c r="B14" s="340"/>
      <c r="C14" s="340"/>
      <c r="D14" s="164"/>
      <c r="E14" s="165"/>
      <c r="F14" s="338"/>
      <c r="G14" s="339"/>
      <c r="H14" s="339"/>
      <c r="I14" s="156"/>
      <c r="J14" s="346" t="s">
        <v>2100</v>
      </c>
      <c r="K14" s="347"/>
      <c r="L14" s="347"/>
      <c r="M14" s="347"/>
      <c r="N14" s="347"/>
      <c r="P14" s="54" t="s">
        <v>2718</v>
      </c>
      <c r="Q14" s="55">
        <f>INT(VALUE(C27))/100</f>
        <v>675057430.47</v>
      </c>
    </row>
    <row r="15" spans="1:17" ht="19.5" customHeight="1">
      <c r="A15" s="343">
        <f>Skriveni!B59</f>
        <v>1104684329.69</v>
      </c>
      <c r="B15" s="344"/>
      <c r="C15" s="345"/>
      <c r="D15" s="60"/>
      <c r="E15" s="60"/>
      <c r="F15" s="60"/>
      <c r="G15" s="60"/>
      <c r="H15" s="60"/>
      <c r="I15" s="60"/>
      <c r="J15" s="60"/>
      <c r="K15" s="60"/>
      <c r="L15" s="60"/>
      <c r="M15" s="60"/>
      <c r="N15" s="60"/>
      <c r="P15" s="54" t="s">
        <v>1817</v>
      </c>
      <c r="Q15" s="55">
        <f>LEN(Skriveni!B9)</f>
        <v>15</v>
      </c>
    </row>
    <row r="16" spans="4:17" ht="12.75" customHeight="1">
      <c r="D16" s="60"/>
      <c r="E16" s="60"/>
      <c r="F16" s="60"/>
      <c r="G16" s="60"/>
      <c r="H16" s="60"/>
      <c r="I16" s="60"/>
      <c r="P16" s="54" t="s">
        <v>1818</v>
      </c>
      <c r="Q16" s="55">
        <f>INT(VALUE(C31))/100</f>
        <v>522.15</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7</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13</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502</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3821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52215</v>
      </c>
      <c r="D31" s="329" t="s">
        <v>693</v>
      </c>
      <c r="E31" s="330"/>
      <c r="F31" s="323" t="s">
        <v>2957</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502</v>
      </c>
      <c r="D39" s="326" t="str">
        <f>IF(C39="","Šifra grada/općine nije upisana",IF(ISNA(LOOKUP(C39,A177:A732,A177:A732)),"Šifra grada/općine ne postoji",IF(LOOKUP(C39,A177:A732,A177:A732)&lt;&gt;C39,"Šifra grada/općine ne postoji",LOOKUP(C39,A177:A732,B177:B732))))</f>
        <v>Vodnjan</v>
      </c>
      <c r="E39" s="327"/>
      <c r="F39" s="327"/>
      <c r="G39" s="327"/>
      <c r="H39" s="314" t="s">
        <v>2222</v>
      </c>
      <c r="I39" s="292"/>
      <c r="J39" s="58">
        <f>IF(C39&gt;0,LOOKUP(C39,A177:A732,C177:C732),"")</f>
        <v>18</v>
      </c>
      <c r="K39" s="315" t="str">
        <f>IF(J39="","Treba prvo upisati šifru grada/općine",LOOKUP(J39,A153:A173,B153:B173))</f>
        <v>ISTARSKA</v>
      </c>
      <c r="L39" s="315"/>
      <c r="M39" s="315"/>
      <c r="N39" s="315"/>
      <c r="P39" s="54" t="s">
        <v>1826</v>
      </c>
      <c r="Q39" s="55">
        <f>C56+2*F56+3*C58+4*F58</f>
        <v>357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618</v>
      </c>
      <c r="D42" s="317" t="str">
        <f>IF(C42="","Šifra NKD-a nije upisana",IF(ISNA(LOOKUP(C42,A736:A1351,A736:A1351)),"Šifra NKD-a ne postoji",IF(LOOKUP(C42,A736:A1351,A736:A1351)&lt;&gt;C42,"Šifra NKD-a ne postoji",LOOKUP(C42,A736:A1351,B736:B1351))))</f>
        <v>Obrada i zbrinjavanje neopasnog otpada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18</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38</v>
      </c>
      <c r="D56" s="272" t="s">
        <v>2898</v>
      </c>
      <c r="E56" s="273"/>
      <c r="F56" s="44">
        <v>40</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33</v>
      </c>
      <c r="D58" s="309" t="s">
        <v>2898</v>
      </c>
      <c r="E58" s="309"/>
      <c r="F58" s="44">
        <v>35</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2960</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2963</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71" operator="equal" stopIfTrue="1">
      <formula>"DA"</formula>
    </cfRule>
  </conditionalFormatting>
  <conditionalFormatting sqref="F4:G4">
    <cfRule type="cellIs" priority="2" dxfId="68" operator="lessThan" stopIfTrue="1">
      <formula>$C$4</formula>
    </cfRule>
  </conditionalFormatting>
  <conditionalFormatting sqref="D44:N44">
    <cfRule type="cellIs" priority="5" dxfId="60" operator="equal" stopIfTrue="1">
      <formula>"Upisana je nepostojeća ili neprepoznatljiva šifra statusa autonomnosti"</formula>
    </cfRule>
  </conditionalFormatting>
  <conditionalFormatting sqref="N25 D17:N18 D26:N26">
    <cfRule type="cellIs" priority="6" dxfId="60" operator="equal" stopIfTrue="1">
      <formula>"Upisana je nepostojeća ili neprepoznatljiva vrsta izvještaja"</formula>
    </cfRule>
  </conditionalFormatting>
  <conditionalFormatting sqref="C20 D19 I20">
    <cfRule type="cellIs" priority="7" dxfId="60" operator="equal" stopIfTrue="1">
      <formula>"Nepostojeća ili neprepoznatljiva svrha predaje"</formula>
    </cfRule>
  </conditionalFormatting>
  <conditionalFormatting sqref="D42:N42">
    <cfRule type="cellIs" priority="8" dxfId="60" operator="equal" stopIfTrue="1">
      <formula>"Šifra NKD-a ne postoji"</formula>
    </cfRule>
  </conditionalFormatting>
  <conditionalFormatting sqref="E51:G51 D50:D51">
    <cfRule type="cellIs" priority="9" dxfId="60" operator="equal" stopIfTrue="1">
      <formula>"Nepostojeća oznaka veličine"</formula>
    </cfRule>
  </conditionalFormatting>
  <conditionalFormatting sqref="D52:H52">
    <cfRule type="cellIs" priority="10" dxfId="60" operator="equal" stopIfTrue="1">
      <formula>"Nepostojeća oznaka vlasništva"</formula>
    </cfRule>
  </conditionalFormatting>
  <conditionalFormatting sqref="D7:N7">
    <cfRule type="cellIs" priority="11" dxfId="60" operator="equal" stopIfTrue="1">
      <formula>"Upisana je nepostojeća ili neprepoznatljiva vrsta poslovnog subjekta"</formula>
    </cfRule>
  </conditionalFormatting>
  <conditionalFormatting sqref="D39:G39">
    <cfRule type="cellIs" priority="12" dxfId="60"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59" activePane="bottomLeft" state="frozen"/>
      <selection pane="topLeft" activeCell="A1" sqref="A1"/>
      <selection pane="bottomLeft" activeCell="J111" sqref="J11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67505743047; CONTRADA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706364</v>
      </c>
      <c r="J10" s="70">
        <f>J11+J18+J28+J39+J44</f>
        <v>1326461</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706364</v>
      </c>
      <c r="J18" s="70">
        <f>SUM(J19:J27)</f>
        <v>1326461</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c r="J20" s="71"/>
    </row>
    <row r="21" spans="1:10" ht="13.5" customHeight="1">
      <c r="A21" s="381" t="s">
        <v>2177</v>
      </c>
      <c r="B21" s="381"/>
      <c r="C21" s="381"/>
      <c r="D21" s="381"/>
      <c r="E21" s="381"/>
      <c r="F21" s="381"/>
      <c r="G21" s="19">
        <v>13</v>
      </c>
      <c r="H21" s="20"/>
      <c r="I21" s="71">
        <f>22585+1118468-632416-18210</f>
        <v>490427</v>
      </c>
      <c r="J21" s="71">
        <f>1490874-806482</f>
        <v>684392</v>
      </c>
    </row>
    <row r="22" spans="1:10" ht="13.5" customHeight="1">
      <c r="A22" s="381" t="s">
        <v>2290</v>
      </c>
      <c r="B22" s="381"/>
      <c r="C22" s="381"/>
      <c r="D22" s="381"/>
      <c r="E22" s="381"/>
      <c r="F22" s="381"/>
      <c r="G22" s="19">
        <v>14</v>
      </c>
      <c r="H22" s="20"/>
      <c r="I22" s="71">
        <f>1810470-1587999-6534</f>
        <v>215937</v>
      </c>
      <c r="J22" s="71">
        <f>2572773-1928253+26295-22101-6645</f>
        <v>642069</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2607165</v>
      </c>
      <c r="J45" s="70">
        <f>J46+J54+J61+J71</f>
        <v>3209494</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2215399</v>
      </c>
      <c r="J54" s="70">
        <f>SUM(J55:J60)</f>
        <v>2824033</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2158035</v>
      </c>
      <c r="J57" s="71">
        <v>2712454</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f>1006+55811+547</f>
        <v>57364</v>
      </c>
      <c r="J59" s="71">
        <f>90737+19007</f>
        <v>109744</v>
      </c>
    </row>
    <row r="60" spans="1:10" ht="13.5" customHeight="1">
      <c r="A60" s="381" t="s">
        <v>2638</v>
      </c>
      <c r="B60" s="381"/>
      <c r="C60" s="381"/>
      <c r="D60" s="381"/>
      <c r="E60" s="381"/>
      <c r="F60" s="381"/>
      <c r="G60" s="19">
        <v>52</v>
      </c>
      <c r="H60" s="20"/>
      <c r="I60" s="71"/>
      <c r="J60" s="71">
        <f>947+888</f>
        <v>1835</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391766</v>
      </c>
      <c r="J71" s="71">
        <v>385461</v>
      </c>
    </row>
    <row r="72" spans="1:10" ht="24.75" customHeight="1">
      <c r="A72" s="383" t="s">
        <v>1558</v>
      </c>
      <c r="B72" s="383"/>
      <c r="C72" s="383"/>
      <c r="D72" s="383"/>
      <c r="E72" s="383"/>
      <c r="F72" s="383"/>
      <c r="G72" s="19">
        <v>64</v>
      </c>
      <c r="H72" s="20"/>
      <c r="I72" s="71"/>
      <c r="J72" s="71"/>
    </row>
    <row r="73" spans="1:10" ht="13.5" customHeight="1">
      <c r="A73" s="383" t="s">
        <v>2650</v>
      </c>
      <c r="B73" s="383"/>
      <c r="C73" s="383"/>
      <c r="D73" s="383"/>
      <c r="E73" s="383"/>
      <c r="F73" s="383"/>
      <c r="G73" s="19">
        <v>65</v>
      </c>
      <c r="H73" s="20"/>
      <c r="I73" s="70">
        <f>I9+I10+I45+I72</f>
        <v>3313529</v>
      </c>
      <c r="J73" s="70">
        <f>J9+J10+J45+J72</f>
        <v>4535955</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1531358</v>
      </c>
      <c r="J76" s="70">
        <f>J77+J78+J79+J85+J86+J90+J93+J96</f>
        <v>1537873</v>
      </c>
      <c r="L76" s="2" t="s">
        <v>2591</v>
      </c>
    </row>
    <row r="77" spans="1:10" ht="13.5" customHeight="1">
      <c r="A77" s="382" t="s">
        <v>935</v>
      </c>
      <c r="B77" s="382"/>
      <c r="C77" s="382"/>
      <c r="D77" s="382"/>
      <c r="E77" s="382"/>
      <c r="F77" s="382"/>
      <c r="G77" s="19">
        <v>68</v>
      </c>
      <c r="H77" s="20"/>
      <c r="I77" s="71">
        <v>1243300</v>
      </c>
      <c r="J77" s="71">
        <v>1243300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79</v>
      </c>
      <c r="J79" s="70">
        <f>J80+J81-J82+J83+J84</f>
        <v>79</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v>79</v>
      </c>
      <c r="J84" s="71">
        <v>79</v>
      </c>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287680</v>
      </c>
      <c r="J90" s="70">
        <f>J91-J92</f>
        <v>287978</v>
      </c>
      <c r="L90" s="2" t="s">
        <v>2591</v>
      </c>
    </row>
    <row r="91" spans="1:10" ht="13.5" customHeight="1">
      <c r="A91" s="381" t="s">
        <v>1139</v>
      </c>
      <c r="B91" s="381"/>
      <c r="C91" s="381"/>
      <c r="D91" s="381"/>
      <c r="E91" s="381"/>
      <c r="F91" s="381"/>
      <c r="G91" s="19">
        <v>82</v>
      </c>
      <c r="H91" s="20"/>
      <c r="I91" s="71">
        <v>287680</v>
      </c>
      <c r="J91" s="71">
        <v>287978</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299</v>
      </c>
      <c r="J93" s="70">
        <f>J94-J95</f>
        <v>6516</v>
      </c>
      <c r="L93" s="2" t="s">
        <v>2591</v>
      </c>
    </row>
    <row r="94" spans="1:10" ht="13.5" customHeight="1">
      <c r="A94" s="381" t="s">
        <v>2640</v>
      </c>
      <c r="B94" s="381"/>
      <c r="C94" s="381"/>
      <c r="D94" s="381"/>
      <c r="E94" s="381"/>
      <c r="F94" s="381"/>
      <c r="G94" s="19">
        <v>85</v>
      </c>
      <c r="H94" s="20"/>
      <c r="I94" s="71">
        <v>299</v>
      </c>
      <c r="J94" s="71">
        <v>6516</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46760</v>
      </c>
      <c r="J104" s="70">
        <f>SUM(J105:J115)</f>
        <v>517025</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v>46760</v>
      </c>
      <c r="J110" s="71">
        <v>517025</v>
      </c>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1581865</v>
      </c>
      <c r="J116" s="70">
        <f>SUM(J117:J130)</f>
        <v>2113251</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v>60260</v>
      </c>
      <c r="J122" s="71">
        <v>202456</v>
      </c>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1146281</v>
      </c>
      <c r="J124" s="71">
        <v>1432330</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f>154741+17504</f>
        <v>172245</v>
      </c>
      <c r="J126" s="71">
        <f>196007+31505</f>
        <v>227512</v>
      </c>
    </row>
    <row r="127" spans="1:10" ht="13.5" customHeight="1">
      <c r="A127" s="381" t="s">
        <v>364</v>
      </c>
      <c r="B127" s="381"/>
      <c r="C127" s="381"/>
      <c r="D127" s="381"/>
      <c r="E127" s="381"/>
      <c r="F127" s="381"/>
      <c r="G127" s="19">
        <v>118</v>
      </c>
      <c r="H127" s="20"/>
      <c r="I127" s="71">
        <f>40790+8417+37283+74594</f>
        <v>161084</v>
      </c>
      <c r="J127" s="71">
        <f>77031+51670+10672-31505+36768</f>
        <v>144636</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f>9982+1447+19400+962+10204</f>
        <v>41995</v>
      </c>
      <c r="J130" s="71">
        <v>106317</v>
      </c>
    </row>
    <row r="131" spans="1:10" ht="24.75" customHeight="1">
      <c r="A131" s="383" t="s">
        <v>1560</v>
      </c>
      <c r="B131" s="383"/>
      <c r="C131" s="383"/>
      <c r="D131" s="383"/>
      <c r="E131" s="383"/>
      <c r="F131" s="383"/>
      <c r="G131" s="19">
        <v>122</v>
      </c>
      <c r="H131" s="20"/>
      <c r="I131" s="71">
        <v>153546</v>
      </c>
      <c r="J131" s="71">
        <v>367806</v>
      </c>
    </row>
    <row r="132" spans="1:10" ht="13.5" customHeight="1">
      <c r="A132" s="383" t="s">
        <v>2657</v>
      </c>
      <c r="B132" s="383"/>
      <c r="C132" s="383"/>
      <c r="D132" s="383"/>
      <c r="E132" s="383"/>
      <c r="F132" s="383"/>
      <c r="G132" s="19">
        <v>123</v>
      </c>
      <c r="H132" s="20"/>
      <c r="I132" s="70">
        <f>I76+I97+I104+I116+I131</f>
        <v>3313529</v>
      </c>
      <c r="J132" s="70">
        <f>J76+J97+J104+J116+J131</f>
        <v>4535955</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5" dxfId="2" operator="notEqual" stopIfTrue="1">
      <formula>ROUND(I76,0)</formula>
    </cfRule>
  </conditionalFormatting>
  <conditionalFormatting sqref="I9:J20 I77 I94:J95 I97:J109 I92:J92 I23:J56 J21:J22 I60:J70 J57:J59 I72:J74 I71 I91 I111:J121 J110 I132:J133 J122:J131">
    <cfRule type="cellIs" priority="16" dxfId="2" operator="notEqual" stopIfTrue="1">
      <formula>ROUND(I9,0)</formula>
    </cfRule>
    <cfRule type="cellIs" priority="17" dxfId="1" operator="lessThan" stopIfTrue="1">
      <formula>0</formula>
    </cfRule>
  </conditionalFormatting>
  <conditionalFormatting sqref="I21:I22">
    <cfRule type="cellIs" priority="13" dxfId="2" operator="notEqual" stopIfTrue="1">
      <formula>ROUND(I21,0)</formula>
    </cfRule>
    <cfRule type="cellIs" priority="14" dxfId="1" operator="lessThan" stopIfTrue="1">
      <formula>0</formula>
    </cfRule>
  </conditionalFormatting>
  <conditionalFormatting sqref="I57:I59">
    <cfRule type="cellIs" priority="11" dxfId="2" operator="notEqual" stopIfTrue="1">
      <formula>ROUND(I57,0)</formula>
    </cfRule>
    <cfRule type="cellIs" priority="12" dxfId="1" operator="lessThan" stopIfTrue="1">
      <formula>0</formula>
    </cfRule>
  </conditionalFormatting>
  <conditionalFormatting sqref="J71">
    <cfRule type="cellIs" priority="9" dxfId="2" operator="notEqual" stopIfTrue="1">
      <formula>ROUND(J71,0)</formula>
    </cfRule>
    <cfRule type="cellIs" priority="10" dxfId="1" operator="lessThan" stopIfTrue="1">
      <formula>0</formula>
    </cfRule>
  </conditionalFormatting>
  <conditionalFormatting sqref="J77">
    <cfRule type="cellIs" priority="7" dxfId="2" operator="notEqual" stopIfTrue="1">
      <formula>ROUND(J77,0)</formula>
    </cfRule>
    <cfRule type="cellIs" priority="8" dxfId="1" operator="lessThan" stopIfTrue="1">
      <formula>0</formula>
    </cfRule>
  </conditionalFormatting>
  <conditionalFormatting sqref="J91">
    <cfRule type="cellIs" priority="5" dxfId="2" operator="notEqual" stopIfTrue="1">
      <formula>ROUND(J91,0)</formula>
    </cfRule>
    <cfRule type="cellIs" priority="6" dxfId="1" operator="lessThan" stopIfTrue="1">
      <formula>0</formula>
    </cfRule>
  </conditionalFormatting>
  <conditionalFormatting sqref="I110">
    <cfRule type="cellIs" priority="3" dxfId="2" operator="notEqual" stopIfTrue="1">
      <formula>ROUND(I110,0)</formula>
    </cfRule>
    <cfRule type="cellIs" priority="4" dxfId="1" operator="lessThan" stopIfTrue="1">
      <formula>0</formula>
    </cfRule>
  </conditionalFormatting>
  <conditionalFormatting sqref="I122:I131">
    <cfRule type="cellIs" priority="1" dxfId="2" operator="notEqual" stopIfTrue="1">
      <formula>ROUND(I122,0)</formula>
    </cfRule>
    <cfRule type="cellIs" priority="2"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53" activePane="bottomLeft" state="frozen"/>
      <selection pane="topLeft" activeCell="A1" sqref="A1"/>
      <selection pane="bottomLeft" activeCell="J65" sqref="J65"/>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67505743047; CONTRADA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6829349</v>
      </c>
      <c r="J8" s="84">
        <f>SUM(J9:J13)</f>
        <v>7862996</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6829349</v>
      </c>
      <c r="J10" s="71">
        <f>7983666-120670</f>
        <v>7862996</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c r="J13" s="71"/>
    </row>
    <row r="14" spans="1:10" s="2" customFormat="1" ht="13.5" customHeight="1">
      <c r="A14" s="383" t="s">
        <v>1837</v>
      </c>
      <c r="B14" s="383"/>
      <c r="C14" s="383"/>
      <c r="D14" s="383"/>
      <c r="E14" s="383"/>
      <c r="F14" s="383"/>
      <c r="G14" s="19">
        <v>131</v>
      </c>
      <c r="H14" s="20"/>
      <c r="I14" s="70">
        <f>I15+I16+I20+I24+I25+I26+I29+I36</f>
        <v>6589852</v>
      </c>
      <c r="J14" s="70">
        <f>J15+J16+J20+J24+J25+J26+J29+J36</f>
        <v>7820820</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2963706</v>
      </c>
      <c r="J16" s="70">
        <f>SUM(J17:J19)</f>
        <v>3328454</v>
      </c>
    </row>
    <row r="17" spans="1:10" s="2" customFormat="1" ht="13.5" customHeight="1">
      <c r="A17" s="410" t="s">
        <v>504</v>
      </c>
      <c r="B17" s="410"/>
      <c r="C17" s="410"/>
      <c r="D17" s="410"/>
      <c r="E17" s="410"/>
      <c r="F17" s="410"/>
      <c r="G17" s="19">
        <v>134</v>
      </c>
      <c r="H17" s="20"/>
      <c r="I17" s="71">
        <v>106609</v>
      </c>
      <c r="J17" s="71">
        <v>206643</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f>6589852-2945479-106609-241892-438775</f>
        <v>2857097</v>
      </c>
      <c r="J19" s="71">
        <v>3121811</v>
      </c>
    </row>
    <row r="20" spans="1:10" s="2" customFormat="1" ht="13.5" customHeight="1">
      <c r="A20" s="381" t="s">
        <v>1839</v>
      </c>
      <c r="B20" s="381"/>
      <c r="C20" s="381"/>
      <c r="D20" s="381"/>
      <c r="E20" s="381"/>
      <c r="F20" s="381"/>
      <c r="G20" s="19">
        <v>137</v>
      </c>
      <c r="H20" s="20"/>
      <c r="I20" s="70">
        <f>SUM(I21:I23)</f>
        <v>2945479</v>
      </c>
      <c r="J20" s="70">
        <f>SUM(J21:J23)</f>
        <v>3685086</v>
      </c>
    </row>
    <row r="21" spans="1:10" s="2" customFormat="1" ht="13.5" customHeight="1">
      <c r="A21" s="410" t="s">
        <v>724</v>
      </c>
      <c r="B21" s="410"/>
      <c r="C21" s="410"/>
      <c r="D21" s="410"/>
      <c r="E21" s="410"/>
      <c r="F21" s="410"/>
      <c r="G21" s="19">
        <v>138</v>
      </c>
      <c r="H21" s="20"/>
      <c r="I21" s="71">
        <v>1912520</v>
      </c>
      <c r="J21" s="71">
        <v>2373237</v>
      </c>
    </row>
    <row r="22" spans="1:10" s="2" customFormat="1" ht="13.5" customHeight="1">
      <c r="A22" s="410" t="s">
        <v>961</v>
      </c>
      <c r="B22" s="410"/>
      <c r="C22" s="410"/>
      <c r="D22" s="410"/>
      <c r="E22" s="410"/>
      <c r="F22" s="410"/>
      <c r="G22" s="19">
        <v>139</v>
      </c>
      <c r="H22" s="20"/>
      <c r="I22" s="71">
        <f>432271+98046</f>
        <v>530317</v>
      </c>
      <c r="J22" s="71">
        <v>789927</v>
      </c>
    </row>
    <row r="23" spans="1:10" s="2" customFormat="1" ht="13.5" customHeight="1">
      <c r="A23" s="410" t="s">
        <v>962</v>
      </c>
      <c r="B23" s="410"/>
      <c r="C23" s="410"/>
      <c r="D23" s="410"/>
      <c r="E23" s="410"/>
      <c r="F23" s="410"/>
      <c r="G23" s="19">
        <v>140</v>
      </c>
      <c r="H23" s="20"/>
      <c r="I23" s="71">
        <v>502642</v>
      </c>
      <c r="J23" s="71">
        <v>521922</v>
      </c>
    </row>
    <row r="24" spans="1:10" s="2" customFormat="1" ht="13.5" customHeight="1">
      <c r="A24" s="381" t="s">
        <v>259</v>
      </c>
      <c r="B24" s="381"/>
      <c r="C24" s="381"/>
      <c r="D24" s="381"/>
      <c r="E24" s="381"/>
      <c r="F24" s="381"/>
      <c r="G24" s="19">
        <v>141</v>
      </c>
      <c r="H24" s="20"/>
      <c r="I24" s="71">
        <v>438775</v>
      </c>
      <c r="J24" s="71">
        <v>518321</v>
      </c>
    </row>
    <row r="25" spans="1:10" s="2" customFormat="1" ht="13.5" customHeight="1">
      <c r="A25" s="381" t="s">
        <v>260</v>
      </c>
      <c r="B25" s="381"/>
      <c r="C25" s="381"/>
      <c r="D25" s="381"/>
      <c r="E25" s="381"/>
      <c r="F25" s="381"/>
      <c r="G25" s="19">
        <v>142</v>
      </c>
      <c r="H25" s="20"/>
      <c r="I25" s="71">
        <f>+241892</f>
        <v>241892</v>
      </c>
      <c r="J25" s="71">
        <v>288959</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c r="J36" s="71"/>
    </row>
    <row r="37" spans="1:10" s="2" customFormat="1" ht="13.5" customHeight="1">
      <c r="A37" s="383" t="s">
        <v>1842</v>
      </c>
      <c r="B37" s="383"/>
      <c r="C37" s="383"/>
      <c r="D37" s="383"/>
      <c r="E37" s="383"/>
      <c r="F37" s="383"/>
      <c r="G37" s="19">
        <v>154</v>
      </c>
      <c r="H37" s="20"/>
      <c r="I37" s="70">
        <f>SUM(I38:I47)</f>
        <v>38538</v>
      </c>
      <c r="J37" s="70">
        <f>SUM(J38:J47)</f>
        <v>139887</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3739</v>
      </c>
      <c r="J44" s="71">
        <v>155</v>
      </c>
    </row>
    <row r="45" spans="1:10" s="2" customFormat="1" ht="13.5" customHeight="1">
      <c r="A45" s="381" t="s">
        <v>1428</v>
      </c>
      <c r="B45" s="381"/>
      <c r="C45" s="381"/>
      <c r="D45" s="381"/>
      <c r="E45" s="381"/>
      <c r="F45" s="381"/>
      <c r="G45" s="19">
        <v>162</v>
      </c>
      <c r="H45" s="20"/>
      <c r="I45" s="71">
        <v>1429</v>
      </c>
      <c r="J45" s="71">
        <v>786</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v>33370</v>
      </c>
      <c r="J47" s="71">
        <f>120670+18276</f>
        <v>138946</v>
      </c>
    </row>
    <row r="48" spans="1:10" s="2" customFormat="1" ht="13.5" customHeight="1">
      <c r="A48" s="383" t="s">
        <v>1843</v>
      </c>
      <c r="B48" s="383"/>
      <c r="C48" s="383"/>
      <c r="D48" s="383"/>
      <c r="E48" s="383"/>
      <c r="F48" s="383"/>
      <c r="G48" s="19">
        <v>165</v>
      </c>
      <c r="H48" s="20"/>
      <c r="I48" s="70">
        <f>SUM(I49:I55)</f>
        <v>236803</v>
      </c>
      <c r="J48" s="70">
        <f>SUM(J49:J55)</f>
        <v>153554</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f>7231+432</f>
        <v>7663</v>
      </c>
      <c r="J51" s="71">
        <v>21943</v>
      </c>
    </row>
    <row r="52" spans="1:10" s="2" customFormat="1" ht="13.5" customHeight="1">
      <c r="A52" s="404" t="s">
        <v>1439</v>
      </c>
      <c r="B52" s="404"/>
      <c r="C52" s="404"/>
      <c r="D52" s="404"/>
      <c r="E52" s="404"/>
      <c r="F52" s="404"/>
      <c r="G52" s="19">
        <v>169</v>
      </c>
      <c r="H52" s="20"/>
      <c r="I52" s="71">
        <f>62</f>
        <v>62</v>
      </c>
      <c r="J52" s="71">
        <v>618</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v>228913</v>
      </c>
      <c r="J54" s="71">
        <v>128672</v>
      </c>
      <c r="L54" s="2" t="s">
        <v>2591</v>
      </c>
    </row>
    <row r="55" spans="1:10" s="2" customFormat="1" ht="13.5" customHeight="1">
      <c r="A55" s="404" t="s">
        <v>1442</v>
      </c>
      <c r="B55" s="404"/>
      <c r="C55" s="404"/>
      <c r="D55" s="404"/>
      <c r="E55" s="404"/>
      <c r="F55" s="404"/>
      <c r="G55" s="19">
        <v>172</v>
      </c>
      <c r="H55" s="20"/>
      <c r="I55" s="71">
        <v>165</v>
      </c>
      <c r="J55" s="71">
        <v>2321</v>
      </c>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6867887</v>
      </c>
      <c r="J60" s="70">
        <f>J8+J37+J56+J57</f>
        <v>8002883</v>
      </c>
    </row>
    <row r="61" spans="1:10" s="2" customFormat="1" ht="13.5" customHeight="1">
      <c r="A61" s="383" t="s">
        <v>1845</v>
      </c>
      <c r="B61" s="383"/>
      <c r="C61" s="383"/>
      <c r="D61" s="383"/>
      <c r="E61" s="383"/>
      <c r="F61" s="383"/>
      <c r="G61" s="19">
        <v>178</v>
      </c>
      <c r="H61" s="20"/>
      <c r="I61" s="70">
        <f>I14+I48+I58+I59</f>
        <v>6826655</v>
      </c>
      <c r="J61" s="70">
        <f>J14+J48+J58+J59</f>
        <v>7974374</v>
      </c>
    </row>
    <row r="62" spans="1:12" s="2" customFormat="1" ht="13.5" customHeight="1">
      <c r="A62" s="383" t="s">
        <v>2581</v>
      </c>
      <c r="B62" s="383"/>
      <c r="C62" s="383"/>
      <c r="D62" s="383"/>
      <c r="E62" s="383"/>
      <c r="F62" s="383"/>
      <c r="G62" s="19">
        <v>179</v>
      </c>
      <c r="H62" s="20"/>
      <c r="I62" s="70">
        <f>I60-I61</f>
        <v>41232</v>
      </c>
      <c r="J62" s="70">
        <f>J60-J61</f>
        <v>28509</v>
      </c>
      <c r="L62" s="2" t="s">
        <v>2591</v>
      </c>
    </row>
    <row r="63" spans="1:10" s="2" customFormat="1" ht="13.5" customHeight="1">
      <c r="A63" s="404" t="s">
        <v>2658</v>
      </c>
      <c r="B63" s="404"/>
      <c r="C63" s="404"/>
      <c r="D63" s="404"/>
      <c r="E63" s="404"/>
      <c r="F63" s="404"/>
      <c r="G63" s="19">
        <v>180</v>
      </c>
      <c r="H63" s="20"/>
      <c r="I63" s="70">
        <f>IF(I60&gt;I61,I60-I61,0)</f>
        <v>41232</v>
      </c>
      <c r="J63" s="70">
        <f>IF(J60&gt;J61,J60-J61,0)</f>
        <v>28509</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40933</v>
      </c>
      <c r="J65" s="71">
        <v>21994</v>
      </c>
      <c r="L65" s="2" t="s">
        <v>2591</v>
      </c>
    </row>
    <row r="66" spans="1:12" s="2" customFormat="1" ht="13.5" customHeight="1">
      <c r="A66" s="383" t="s">
        <v>2582</v>
      </c>
      <c r="B66" s="383"/>
      <c r="C66" s="383"/>
      <c r="D66" s="383"/>
      <c r="E66" s="383"/>
      <c r="F66" s="383"/>
      <c r="G66" s="19">
        <v>183</v>
      </c>
      <c r="H66" s="20"/>
      <c r="I66" s="70">
        <f>I62-I65</f>
        <v>299</v>
      </c>
      <c r="J66" s="70">
        <f>J62-J65</f>
        <v>6515</v>
      </c>
      <c r="L66" s="2" t="s">
        <v>2591</v>
      </c>
    </row>
    <row r="67" spans="1:10" s="2" customFormat="1" ht="13.5" customHeight="1">
      <c r="A67" s="404" t="s">
        <v>779</v>
      </c>
      <c r="B67" s="404"/>
      <c r="C67" s="404"/>
      <c r="D67" s="404"/>
      <c r="E67" s="404"/>
      <c r="F67" s="404"/>
      <c r="G67" s="19">
        <v>184</v>
      </c>
      <c r="H67" s="20"/>
      <c r="I67" s="70">
        <f>IF(I66&gt;0,I66,0)</f>
        <v>299</v>
      </c>
      <c r="J67" s="70">
        <f>IF(J66&gt;0,J66,0)</f>
        <v>6515</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J54 I62:J62 I66:J66 I70:J70 I73:J73 I77:J77 I89:J101 I85:J87 I80:J81 J65">
    <cfRule type="cellIs" priority="13" dxfId="2" operator="notEqual" stopIfTrue="1">
      <formula>ROUND(I15,0)</formula>
    </cfRule>
  </conditionalFormatting>
  <conditionalFormatting sqref="I78:J79 I67:J68 I74:J75 I82:J83 I8:J9 I16:J16 I36:J43 I56:J61 I63:J64 I71:J72 I11:J14 J10 I20:J20 J17:J19 J21:J25 I48:J50 J44:J47 J51:J53 J55">
    <cfRule type="cellIs" priority="14" dxfId="2" operator="notEqual" stopIfTrue="1">
      <formula>ROUND(I8,0)</formula>
    </cfRule>
    <cfRule type="cellIs" priority="15" dxfId="1" operator="lessThan" stopIfTrue="1">
      <formula>0</formula>
    </cfRule>
  </conditionalFormatting>
  <conditionalFormatting sqref="I10">
    <cfRule type="cellIs" priority="11" dxfId="2" operator="notEqual" stopIfTrue="1">
      <formula>ROUND(I10,0)</formula>
    </cfRule>
    <cfRule type="cellIs" priority="12" dxfId="1" operator="lessThan" stopIfTrue="1">
      <formula>0</formula>
    </cfRule>
  </conditionalFormatting>
  <conditionalFormatting sqref="I17:I19">
    <cfRule type="cellIs" priority="9" dxfId="2" operator="notEqual" stopIfTrue="1">
      <formula>ROUND(I17,0)</formula>
    </cfRule>
    <cfRule type="cellIs" priority="10" dxfId="1" operator="lessThan" stopIfTrue="1">
      <formula>0</formula>
    </cfRule>
  </conditionalFormatting>
  <conditionalFormatting sqref="I21:I25">
    <cfRule type="cellIs" priority="7" dxfId="2" operator="notEqual" stopIfTrue="1">
      <formula>ROUND(I21,0)</formula>
    </cfRule>
    <cfRule type="cellIs" priority="8" dxfId="1" operator="lessThan" stopIfTrue="1">
      <formula>0</formula>
    </cfRule>
  </conditionalFormatting>
  <conditionalFormatting sqref="I44:I47">
    <cfRule type="cellIs" priority="5" dxfId="2" operator="notEqual" stopIfTrue="1">
      <formula>ROUND(I44,0)</formula>
    </cfRule>
    <cfRule type="cellIs" priority="6" dxfId="1" operator="lessThan" stopIfTrue="1">
      <formula>0</formula>
    </cfRule>
  </conditionalFormatting>
  <conditionalFormatting sqref="I54">
    <cfRule type="cellIs" priority="2" dxfId="2" operator="notEqual" stopIfTrue="1">
      <formula>ROUND(I54,0)</formula>
    </cfRule>
  </conditionalFormatting>
  <conditionalFormatting sqref="I51:I53 I55">
    <cfRule type="cellIs" priority="3" dxfId="2" operator="notEqual" stopIfTrue="1">
      <formula>ROUND(I51,0)</formula>
    </cfRule>
    <cfRule type="cellIs" priority="4" dxfId="1" operator="lessThan" stopIfTrue="1">
      <formula>0</formula>
    </cfRule>
  </conditionalFormatting>
  <conditionalFormatting sqref="I65">
    <cfRule type="cellIs" priority="1" dxfId="2" operator="notEqual" stopIfTrue="1">
      <formula>ROUND(I65,0)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9" activePane="bottomLeft" state="frozen"/>
      <selection pane="topLeft" activeCell="A1" sqref="A1"/>
      <selection pane="bottomLeft" activeCell="J66" sqref="J6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67505743047; CONTRADA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v>46760</v>
      </c>
      <c r="J17" s="94">
        <v>517026</v>
      </c>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v>6829349</v>
      </c>
      <c r="J26" s="77">
        <f>7983666-120670</f>
        <v>7862996</v>
      </c>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6829349</v>
      </c>
      <c r="J37" s="94">
        <f>7983666-120670</f>
        <v>7862996</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v>66788</v>
      </c>
      <c r="J43" s="77">
        <v>120670</v>
      </c>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306340</v>
      </c>
      <c r="J50" s="77">
        <v>314736</v>
      </c>
    </row>
    <row r="51" spans="1:10" s="2" customFormat="1" ht="24.75" customHeight="1">
      <c r="A51" s="404" t="s">
        <v>2219</v>
      </c>
      <c r="B51" s="404"/>
      <c r="C51" s="404"/>
      <c r="D51" s="404"/>
      <c r="E51" s="404"/>
      <c r="F51" s="404"/>
      <c r="G51" s="427"/>
      <c r="H51" s="19">
        <v>253</v>
      </c>
      <c r="I51" s="77">
        <f>1006883+53574+2300</f>
        <v>1062757</v>
      </c>
      <c r="J51" s="77">
        <f>155107+1315283</f>
        <v>1470390</v>
      </c>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v>327233</v>
      </c>
      <c r="J55" s="77">
        <v>207650</v>
      </c>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v>99646</v>
      </c>
      <c r="J57" s="77">
        <v>117615</v>
      </c>
    </row>
    <row r="58" spans="1:10" s="2" customFormat="1" ht="13.5" customHeight="1">
      <c r="A58" s="404" t="s">
        <v>2436</v>
      </c>
      <c r="B58" s="404"/>
      <c r="C58" s="404"/>
      <c r="D58" s="404"/>
      <c r="E58" s="404"/>
      <c r="F58" s="404"/>
      <c r="G58" s="427"/>
      <c r="H58" s="19">
        <v>260</v>
      </c>
      <c r="I58" s="77">
        <v>33040</v>
      </c>
      <c r="J58" s="77">
        <f>10672+46853</f>
        <v>57525</v>
      </c>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f>84167+19335</f>
        <v>103502</v>
      </c>
      <c r="J60" s="77">
        <f>101735+15857</f>
        <v>117592</v>
      </c>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v>2880</v>
      </c>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f>96750+12626+14327</f>
        <v>123703</v>
      </c>
      <c r="J65" s="77">
        <v>250102</v>
      </c>
    </row>
    <row r="66" spans="1:10" s="2" customFormat="1" ht="13.5" customHeight="1">
      <c r="A66" s="431" t="s">
        <v>2903</v>
      </c>
      <c r="B66" s="431"/>
      <c r="C66" s="431"/>
      <c r="D66" s="431"/>
      <c r="E66" s="431"/>
      <c r="F66" s="431"/>
      <c r="G66" s="432"/>
      <c r="H66" s="19">
        <v>268</v>
      </c>
      <c r="I66" s="77">
        <v>14327</v>
      </c>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3739</v>
      </c>
      <c r="J73" s="94">
        <v>155</v>
      </c>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v>7231</v>
      </c>
      <c r="J76" s="78">
        <f>20916+1027</f>
        <v>21943</v>
      </c>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77725</v>
      </c>
      <c r="J78" s="228">
        <f>SUM(J79:J82)</f>
        <v>1134708</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v>72725</v>
      </c>
      <c r="J80" s="77">
        <f>372405-3710+16479</f>
        <v>385174</v>
      </c>
    </row>
    <row r="81" spans="1:10" s="2" customFormat="1" ht="13.5" customHeight="1">
      <c r="A81" s="404" t="s">
        <v>1</v>
      </c>
      <c r="B81" s="404"/>
      <c r="C81" s="404"/>
      <c r="D81" s="404"/>
      <c r="E81" s="404"/>
      <c r="F81" s="404"/>
      <c r="G81" s="427"/>
      <c r="H81" s="19">
        <v>281</v>
      </c>
      <c r="I81" s="77"/>
      <c r="J81" s="77">
        <f>12583+733241</f>
        <v>745824</v>
      </c>
    </row>
    <row r="82" spans="1:10" s="2" customFormat="1" ht="36" customHeight="1">
      <c r="A82" s="404" t="s">
        <v>4</v>
      </c>
      <c r="B82" s="404"/>
      <c r="C82" s="404"/>
      <c r="D82" s="404"/>
      <c r="E82" s="404"/>
      <c r="F82" s="404"/>
      <c r="G82" s="427"/>
      <c r="H82" s="19">
        <v>282</v>
      </c>
      <c r="I82" s="77">
        <v>5000</v>
      </c>
      <c r="J82" s="77">
        <v>3710</v>
      </c>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25 I37:J38 I40:J40 I42:J42 I78:J79 J73:J76 I88:J88 I49:J49 I71:J71 I27:J35 J26 I44:J47 J43 I67:J67 I83:J86 I80:I82">
    <cfRule type="cellIs" priority="13" dxfId="2" operator="notEqual" stopIfTrue="1">
      <formula>ROUND(I9,0)</formula>
    </cfRule>
    <cfRule type="cellIs" priority="14" dxfId="1" operator="lessThan" stopIfTrue="1">
      <formula>0</formula>
    </cfRule>
  </conditionalFormatting>
  <conditionalFormatting sqref="I68:J70">
    <cfRule type="cellIs" priority="15" dxfId="2" operator="notEqual" stopIfTrue="1">
      <formula>ROUND(I68,0)</formula>
    </cfRule>
  </conditionalFormatting>
  <conditionalFormatting sqref="I26">
    <cfRule type="cellIs" priority="11" dxfId="2" operator="notEqual" stopIfTrue="1">
      <formula>ROUND(I26,0)</formula>
    </cfRule>
    <cfRule type="cellIs" priority="12" dxfId="1" operator="lessThan" stopIfTrue="1">
      <formula>0</formula>
    </cfRule>
  </conditionalFormatting>
  <conditionalFormatting sqref="I43">
    <cfRule type="cellIs" priority="9" dxfId="2" operator="notEqual" stopIfTrue="1">
      <formula>ROUND(I43,0)</formula>
    </cfRule>
    <cfRule type="cellIs" priority="10" dxfId="1" operator="lessThan" stopIfTrue="1">
      <formula>0</formula>
    </cfRule>
  </conditionalFormatting>
  <conditionalFormatting sqref="J50:J66">
    <cfRule type="cellIs" priority="7" dxfId="2" operator="notEqual" stopIfTrue="1">
      <formula>ROUND(J50,0)</formula>
    </cfRule>
    <cfRule type="cellIs" priority="8" dxfId="1" operator="lessThan" stopIfTrue="1">
      <formula>0</formula>
    </cfRule>
  </conditionalFormatting>
  <conditionalFormatting sqref="I50:I66">
    <cfRule type="cellIs" priority="5" dxfId="2" operator="notEqual" stopIfTrue="1">
      <formula>ROUND(I50,0)</formula>
    </cfRule>
    <cfRule type="cellIs" priority="6" dxfId="1" operator="lessThan" stopIfTrue="1">
      <formula>0</formula>
    </cfRule>
  </conditionalFormatting>
  <conditionalFormatting sqref="I73:I76">
    <cfRule type="cellIs" priority="3" dxfId="2" operator="notEqual" stopIfTrue="1">
      <formula>ROUND(I73,0)</formula>
    </cfRule>
    <cfRule type="cellIs" priority="4" dxfId="1" operator="lessThan" stopIfTrue="1">
      <formula>0</formula>
    </cfRule>
  </conditionalFormatting>
  <conditionalFormatting sqref="J80:J82">
    <cfRule type="cellIs" priority="1" dxfId="2" operator="notEqual" stopIfTrue="1">
      <formula>ROUND(J80,0)</formula>
    </cfRule>
    <cfRule type="cellIs" priority="2" dxfId="1" operator="lessThan" stopIfTrue="1">
      <formula>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67505743047; CONTRADA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67505743047; CONTRADA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67505743047; CONTRADA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Contrada</cp:lastModifiedBy>
  <cp:lastPrinted>2017-01-04T10:24:58Z</cp:lastPrinted>
  <dcterms:created xsi:type="dcterms:W3CDTF">2008-10-17T11:51:54Z</dcterms:created>
  <dcterms:modified xsi:type="dcterms:W3CDTF">2020-11-19T20:07:45Z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